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activeTab="1"/>
  </bookViews>
  <sheets>
    <sheet name="Sheet1" sheetId="1" r:id="rId1"/>
    <sheet name="ATM mesach" sheetId="2" r:id="rId2"/>
    <sheet name="trend" sheetId="3" r:id="rId3"/>
    <sheet name="BU Proficability" sheetId="4" r:id="rId4"/>
  </sheets>
  <calcPr calcId="145621"/>
</workbook>
</file>

<file path=xl/calcChain.xml><?xml version="1.0" encoding="utf-8"?>
<calcChain xmlns="http://schemas.openxmlformats.org/spreadsheetml/2006/main">
  <c r="F17" i="4" l="1"/>
  <c r="F18" i="4"/>
  <c r="F19" i="4"/>
  <c r="F20" i="4"/>
  <c r="F21" i="4"/>
  <c r="F16" i="4"/>
  <c r="E22" i="4"/>
  <c r="G17" i="4"/>
  <c r="G18" i="4"/>
  <c r="G19" i="4"/>
  <c r="G20" i="4"/>
  <c r="G21" i="4"/>
  <c r="G16" i="4"/>
  <c r="D17" i="4"/>
  <c r="D18" i="4"/>
  <c r="D19" i="4"/>
  <c r="D20" i="4"/>
  <c r="D21" i="4"/>
  <c r="D16" i="4"/>
  <c r="I12" i="4"/>
  <c r="F7" i="3"/>
  <c r="F5" i="3"/>
  <c r="F6" i="3"/>
  <c r="F4" i="3"/>
  <c r="D15" i="2"/>
  <c r="D13" i="2"/>
  <c r="D12" i="2"/>
  <c r="D7" i="2"/>
  <c r="D6" i="2"/>
  <c r="K18" i="2"/>
  <c r="K19" i="2"/>
  <c r="K20" i="2"/>
  <c r="K17" i="2"/>
  <c r="J20" i="2"/>
  <c r="I20" i="2"/>
  <c r="J18" i="2"/>
  <c r="I18" i="2"/>
  <c r="J19" i="2"/>
  <c r="I19" i="2"/>
  <c r="I13" i="2"/>
  <c r="I9" i="2"/>
  <c r="O6" i="2"/>
  <c r="P6" i="2"/>
  <c r="Q6" i="2"/>
  <c r="R6" i="2"/>
  <c r="S6" i="2"/>
  <c r="I7" i="2"/>
  <c r="F14" i="2"/>
  <c r="F13" i="2"/>
  <c r="D11" i="2"/>
  <c r="M6" i="1"/>
  <c r="L6" i="1"/>
  <c r="K6" i="1"/>
  <c r="C6" i="1"/>
</calcChain>
</file>

<file path=xl/sharedStrings.xml><?xml version="1.0" encoding="utf-8"?>
<sst xmlns="http://schemas.openxmlformats.org/spreadsheetml/2006/main" count="62" uniqueCount="52">
  <si>
    <t>Total Customers</t>
  </si>
  <si>
    <t>Using RALs</t>
  </si>
  <si>
    <t>M</t>
  </si>
  <si>
    <t xml:space="preserve">Retail office </t>
  </si>
  <si>
    <t>Earn &lt; 30k$/yr</t>
  </si>
  <si>
    <t># returns filled</t>
  </si>
  <si>
    <t>Growth</t>
  </si>
  <si>
    <t># checks cashed</t>
  </si>
  <si>
    <t># ATMs</t>
  </si>
  <si>
    <t>Dividend Payment</t>
  </si>
  <si>
    <t>WACC (M$, from 2003 financial statements)</t>
  </si>
  <si>
    <t>Market Cap</t>
  </si>
  <si>
    <t>Cost of Equity</t>
  </si>
  <si>
    <t>Year</t>
  </si>
  <si>
    <t>Dividend</t>
  </si>
  <si>
    <t>Return</t>
  </si>
  <si>
    <t>Interest Payment</t>
  </si>
  <si>
    <t>Long Term Debt</t>
  </si>
  <si>
    <t>Cost of debt</t>
  </si>
  <si>
    <t>Liabilities</t>
  </si>
  <si>
    <t>Quantity</t>
  </si>
  <si>
    <t>Cost</t>
  </si>
  <si>
    <t>SH Equity</t>
  </si>
  <si>
    <t>% of total Assets</t>
  </si>
  <si>
    <t>Total</t>
  </si>
  <si>
    <t>Weighted Cost</t>
  </si>
  <si>
    <t>Cost of working capital (220k$@10.7%)</t>
  </si>
  <si>
    <t>Total Value of checks</t>
  </si>
  <si>
    <t>revenues from 3% comission</t>
  </si>
  <si>
    <t>Average revenue/ATM</t>
  </si>
  <si>
    <t>Revenues</t>
  </si>
  <si>
    <t>Costs</t>
  </si>
  <si>
    <t>Annual maintenance</t>
  </si>
  <si>
    <t>Depreciation (15k$CAPEX/5y)</t>
  </si>
  <si>
    <t>Total cost/ATM</t>
  </si>
  <si>
    <t>P/L</t>
  </si>
  <si>
    <t>RAL</t>
  </si>
  <si>
    <t>RAC</t>
  </si>
  <si>
    <t>Express IRA</t>
  </si>
  <si>
    <t>Average Fee</t>
  </si>
  <si>
    <t># Sold ('000)</t>
  </si>
  <si>
    <t>Revenue</t>
  </si>
  <si>
    <t>US Tax</t>
  </si>
  <si>
    <t>Mortgage</t>
  </si>
  <si>
    <t>Business Services</t>
  </si>
  <si>
    <t>Investment Services</t>
  </si>
  <si>
    <t>International Tax Operations</t>
  </si>
  <si>
    <t>Corporate Operations</t>
  </si>
  <si>
    <t>Identifiable Assets</t>
  </si>
  <si>
    <t>ROA</t>
  </si>
  <si>
    <t>% Total Assets</t>
  </si>
  <si>
    <t>2003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</si>
</sst>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71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2" applyFont="1"/>
    <xf numFmtId="164" fontId="0" fillId="0" borderId="0" xfId="2" applyNumberFormat="1" applyFont="1"/>
    <xf numFmtId="0" fontId="0" fillId="0" borderId="1" xfId="0" applyBorder="1"/>
    <xf numFmtId="9" fontId="0" fillId="0" borderId="1" xfId="2" applyFont="1" applyBorder="1"/>
    <xf numFmtId="0" fontId="2" fillId="0" borderId="1" xfId="0" applyFont="1" applyBorder="1"/>
    <xf numFmtId="171" fontId="0" fillId="0" borderId="0" xfId="0" applyNumberFormat="1"/>
    <xf numFmtId="171" fontId="0" fillId="0" borderId="1" xfId="0" applyNumberFormat="1" applyBorder="1"/>
    <xf numFmtId="0" fontId="2" fillId="0" borderId="0" xfId="0" applyFont="1"/>
    <xf numFmtId="164" fontId="0" fillId="0" borderId="1" xfId="2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0" xfId="0" applyBorder="1"/>
    <xf numFmtId="171" fontId="0" fillId="0" borderId="0" xfId="1" applyNumberFormat="1" applyFont="1" applyBorder="1"/>
    <xf numFmtId="171" fontId="0" fillId="0" borderId="2" xfId="0" applyNumberFormat="1" applyBorder="1"/>
    <xf numFmtId="171" fontId="2" fillId="0" borderId="0" xfId="0" applyNumberFormat="1" applyFont="1"/>
    <xf numFmtId="0" fontId="2" fillId="0" borderId="3" xfId="0" applyFont="1" applyBorder="1"/>
    <xf numFmtId="0" fontId="0" fillId="0" borderId="3" xfId="0" applyBorder="1"/>
    <xf numFmtId="171" fontId="2" fillId="0" borderId="3" xfId="0" applyNumberFormat="1" applyFont="1" applyBorder="1"/>
    <xf numFmtId="171" fontId="0" fillId="0" borderId="1" xfId="1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 Proficability'!$C$6</c:f>
              <c:strCache>
                <c:ptCount val="1"/>
                <c:pt idx="0">
                  <c:v>US Tax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Proficability'!$D$6:$I$6</c:f>
              <c:numCache>
                <c:formatCode>General</c:formatCode>
                <c:ptCount val="6"/>
                <c:pt idx="0">
                  <c:v>252</c:v>
                </c:pt>
                <c:pt idx="1">
                  <c:v>314</c:v>
                </c:pt>
                <c:pt idx="2">
                  <c:v>320</c:v>
                </c:pt>
                <c:pt idx="3">
                  <c:v>434</c:v>
                </c:pt>
                <c:pt idx="4">
                  <c:v>534</c:v>
                </c:pt>
                <c:pt idx="5">
                  <c:v>547</c:v>
                </c:pt>
              </c:numCache>
            </c:numRef>
          </c:val>
        </c:ser>
        <c:ser>
          <c:idx val="1"/>
          <c:order val="1"/>
          <c:tx>
            <c:strRef>
              <c:f>'BU Proficability'!$C$7</c:f>
              <c:strCache>
                <c:ptCount val="1"/>
                <c:pt idx="0">
                  <c:v>Mortgage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Proficability'!$D$7:$I$7</c:f>
              <c:numCache>
                <c:formatCode>General</c:formatCode>
                <c:ptCount val="6"/>
                <c:pt idx="2">
                  <c:v>89</c:v>
                </c:pt>
                <c:pt idx="3">
                  <c:v>138</c:v>
                </c:pt>
                <c:pt idx="4">
                  <c:v>339</c:v>
                </c:pt>
                <c:pt idx="5">
                  <c:v>694</c:v>
                </c:pt>
              </c:numCache>
            </c:numRef>
          </c:val>
        </c:ser>
        <c:ser>
          <c:idx val="2"/>
          <c:order val="2"/>
          <c:tx>
            <c:strRef>
              <c:f>'BU Proficability'!$C$8</c:f>
              <c:strCache>
                <c:ptCount val="1"/>
                <c:pt idx="0">
                  <c:v>Business Services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Proficability'!$D$8:$I$8</c:f>
              <c:numCache>
                <c:formatCode>General</c:formatCode>
                <c:ptCount val="6"/>
                <c:pt idx="1">
                  <c:v>7.1</c:v>
                </c:pt>
                <c:pt idx="2">
                  <c:v>17.100000000000001</c:v>
                </c:pt>
                <c:pt idx="3">
                  <c:v>16</c:v>
                </c:pt>
                <c:pt idx="4">
                  <c:v>23</c:v>
                </c:pt>
                <c:pt idx="5">
                  <c:v>-14</c:v>
                </c:pt>
              </c:numCache>
            </c:numRef>
          </c:val>
        </c:ser>
        <c:ser>
          <c:idx val="3"/>
          <c:order val="3"/>
          <c:tx>
            <c:strRef>
              <c:f>'BU Proficability'!$C$9</c:f>
              <c:strCache>
                <c:ptCount val="1"/>
                <c:pt idx="0">
                  <c:v>Investment Services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Proficability'!$D$9:$I$9</c:f>
              <c:numCache>
                <c:formatCode>General</c:formatCode>
                <c:ptCount val="6"/>
                <c:pt idx="0">
                  <c:v>29</c:v>
                </c:pt>
                <c:pt idx="1">
                  <c:v>61</c:v>
                </c:pt>
                <c:pt idx="2">
                  <c:v>41</c:v>
                </c:pt>
                <c:pt idx="3">
                  <c:v>9</c:v>
                </c:pt>
                <c:pt idx="4">
                  <c:v>-55</c:v>
                </c:pt>
                <c:pt idx="5">
                  <c:v>-128</c:v>
                </c:pt>
              </c:numCache>
            </c:numRef>
          </c:val>
        </c:ser>
        <c:ser>
          <c:idx val="4"/>
          <c:order val="4"/>
          <c:tx>
            <c:strRef>
              <c:f>'BU Proficability'!$C$10</c:f>
              <c:strCache>
                <c:ptCount val="1"/>
                <c:pt idx="0">
                  <c:v>International Tax Operations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Proficability'!$D$10:$I$10</c:f>
              <c:numCache>
                <c:formatCode>General</c:formatCode>
                <c:ptCount val="6"/>
                <c:pt idx="0">
                  <c:v>12</c:v>
                </c:pt>
                <c:pt idx="1">
                  <c:v>2.5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</c:ser>
        <c:ser>
          <c:idx val="5"/>
          <c:order val="5"/>
          <c:tx>
            <c:strRef>
              <c:f>'BU Proficability'!$C$11</c:f>
              <c:strCache>
                <c:ptCount val="1"/>
                <c:pt idx="0">
                  <c:v>Corporate Operations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Proficability'!$D$11:$I$11</c:f>
              <c:numCache>
                <c:formatCode>General</c:formatCode>
                <c:ptCount val="6"/>
                <c:pt idx="0">
                  <c:v>3</c:v>
                </c:pt>
                <c:pt idx="1">
                  <c:v>-1</c:v>
                </c:pt>
                <c:pt idx="2">
                  <c:v>-60</c:v>
                </c:pt>
                <c:pt idx="3">
                  <c:v>-130</c:v>
                </c:pt>
                <c:pt idx="4">
                  <c:v>-131</c:v>
                </c:pt>
                <c:pt idx="5">
                  <c:v>-122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229056"/>
        <c:axId val="287230592"/>
      </c:barChart>
      <c:catAx>
        <c:axId val="28722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7230592"/>
        <c:crosses val="autoZero"/>
        <c:auto val="1"/>
        <c:lblAlgn val="ctr"/>
        <c:lblOffset val="100"/>
        <c:noMultiLvlLbl val="0"/>
      </c:catAx>
      <c:valAx>
        <c:axId val="28723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22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</xdr:row>
      <xdr:rowOff>90487</xdr:rowOff>
    </xdr:from>
    <xdr:to>
      <xdr:col>19</xdr:col>
      <xdr:colOff>285750</xdr:colOff>
      <xdr:row>16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workbookViewId="0">
      <selection activeCell="M6" sqref="M6"/>
    </sheetView>
  </sheetViews>
  <sheetFormatPr defaultRowHeight="15" x14ac:dyDescent="0.25"/>
  <cols>
    <col min="2" max="2" width="15.42578125" bestFit="1" customWidth="1"/>
    <col min="9" max="9" width="15" bestFit="1" customWidth="1"/>
  </cols>
  <sheetData>
    <row r="2" spans="2:13" x14ac:dyDescent="0.25">
      <c r="C2" t="s">
        <v>2</v>
      </c>
    </row>
    <row r="3" spans="2:13" x14ac:dyDescent="0.25">
      <c r="B3" t="s">
        <v>0</v>
      </c>
      <c r="C3">
        <v>18.7</v>
      </c>
    </row>
    <row r="4" spans="2:13" x14ac:dyDescent="0.25">
      <c r="B4" t="s">
        <v>1</v>
      </c>
      <c r="C4">
        <v>4.5999999999999996</v>
      </c>
      <c r="J4">
        <v>2003</v>
      </c>
      <c r="K4">
        <v>2004</v>
      </c>
      <c r="L4">
        <v>2005</v>
      </c>
      <c r="M4">
        <v>2010</v>
      </c>
    </row>
    <row r="5" spans="2:13" x14ac:dyDescent="0.25">
      <c r="B5" t="s">
        <v>3</v>
      </c>
      <c r="C5">
        <v>16.3</v>
      </c>
      <c r="I5" t="s">
        <v>5</v>
      </c>
      <c r="J5">
        <v>130</v>
      </c>
      <c r="K5">
        <v>131</v>
      </c>
      <c r="L5">
        <v>134</v>
      </c>
      <c r="M5">
        <v>143</v>
      </c>
    </row>
    <row r="6" spans="2:13" x14ac:dyDescent="0.25">
      <c r="B6" t="s">
        <v>4</v>
      </c>
      <c r="C6">
        <f>C5*0.58</f>
        <v>9.4540000000000006</v>
      </c>
      <c r="I6" t="s">
        <v>6</v>
      </c>
      <c r="K6" s="2">
        <f>(K5-J5)/J5</f>
        <v>7.6923076923076927E-3</v>
      </c>
      <c r="L6" s="2">
        <f t="shared" ref="L6:M6" si="0">(L5-K5)/K5</f>
        <v>2.2900763358778626E-2</v>
      </c>
      <c r="M6" s="2">
        <f>(M5-L5)/L5</f>
        <v>6.7164179104477612E-2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"/>
  <sheetViews>
    <sheetView tabSelected="1" workbookViewId="0">
      <selection activeCell="D19" sqref="D19"/>
    </sheetView>
  </sheetViews>
  <sheetFormatPr defaultRowHeight="15" x14ac:dyDescent="0.25"/>
  <cols>
    <col min="2" max="2" width="3.85546875" customWidth="1"/>
    <col min="3" max="3" width="34.140625" bestFit="1" customWidth="1"/>
    <col min="4" max="4" width="16.28515625" bestFit="1" customWidth="1"/>
    <col min="8" max="8" width="17.5703125" bestFit="1" customWidth="1"/>
    <col min="9" max="9" width="20.42578125" bestFit="1" customWidth="1"/>
  </cols>
  <sheetData>
    <row r="2" spans="2:19" x14ac:dyDescent="0.25">
      <c r="B2" s="8" t="s">
        <v>30</v>
      </c>
    </row>
    <row r="3" spans="2:19" x14ac:dyDescent="0.25">
      <c r="C3" t="s">
        <v>8</v>
      </c>
      <c r="D3">
        <v>200</v>
      </c>
      <c r="H3" t="s">
        <v>10</v>
      </c>
    </row>
    <row r="4" spans="2:19" x14ac:dyDescent="0.25">
      <c r="C4" t="s">
        <v>7</v>
      </c>
      <c r="D4">
        <v>110000</v>
      </c>
      <c r="M4" s="5" t="s">
        <v>13</v>
      </c>
      <c r="N4" s="5">
        <v>1998</v>
      </c>
      <c r="O4" s="5">
        <v>1999</v>
      </c>
      <c r="P4" s="5">
        <v>2000</v>
      </c>
      <c r="Q4" s="5">
        <v>2001</v>
      </c>
      <c r="R4" s="5">
        <v>2002</v>
      </c>
      <c r="S4" s="5">
        <v>2003</v>
      </c>
    </row>
    <row r="5" spans="2:19" x14ac:dyDescent="0.25">
      <c r="C5" s="12" t="s">
        <v>27</v>
      </c>
      <c r="D5" s="13">
        <v>220000000</v>
      </c>
      <c r="H5" s="3" t="s">
        <v>9</v>
      </c>
      <c r="I5" s="7">
        <v>125</v>
      </c>
      <c r="M5" s="3" t="s">
        <v>14</v>
      </c>
      <c r="N5" s="3">
        <v>84</v>
      </c>
      <c r="O5" s="3">
        <v>95</v>
      </c>
      <c r="P5" s="3">
        <v>105</v>
      </c>
      <c r="Q5" s="3">
        <v>108</v>
      </c>
      <c r="R5" s="3">
        <v>115</v>
      </c>
      <c r="S5" s="3">
        <v>125</v>
      </c>
    </row>
    <row r="6" spans="2:19" x14ac:dyDescent="0.25">
      <c r="C6" s="11" t="s">
        <v>28</v>
      </c>
      <c r="D6" s="14">
        <f>D5*0.03</f>
        <v>6600000</v>
      </c>
      <c r="H6" s="3" t="s">
        <v>11</v>
      </c>
      <c r="I6" s="7">
        <v>6936</v>
      </c>
      <c r="M6" s="3" t="s">
        <v>6</v>
      </c>
      <c r="N6" s="3"/>
      <c r="O6" s="4">
        <f t="shared" ref="O6:R6" si="0">(O5-N5)/N5</f>
        <v>0.13095238095238096</v>
      </c>
      <c r="P6" s="4">
        <f t="shared" si="0"/>
        <v>0.10526315789473684</v>
      </c>
      <c r="Q6" s="4">
        <f t="shared" si="0"/>
        <v>2.8571428571428571E-2</v>
      </c>
      <c r="R6" s="4">
        <f t="shared" si="0"/>
        <v>6.4814814814814811E-2</v>
      </c>
      <c r="S6" s="4">
        <f>(S5-R5)/R5</f>
        <v>8.6956521739130432E-2</v>
      </c>
    </row>
    <row r="7" spans="2:19" x14ac:dyDescent="0.25">
      <c r="C7" s="8" t="s">
        <v>29</v>
      </c>
      <c r="D7" s="15">
        <f>D6/D3</f>
        <v>33000</v>
      </c>
      <c r="H7" s="3" t="s">
        <v>15</v>
      </c>
      <c r="I7" s="4">
        <f>I5/I6</f>
        <v>1.8021914648212227E-2</v>
      </c>
    </row>
    <row r="8" spans="2:19" x14ac:dyDescent="0.25">
      <c r="H8" s="3" t="s">
        <v>6</v>
      </c>
      <c r="I8" s="4">
        <v>0.08</v>
      </c>
    </row>
    <row r="9" spans="2:19" x14ac:dyDescent="0.25">
      <c r="B9" s="8" t="s">
        <v>31</v>
      </c>
      <c r="H9" s="3" t="s">
        <v>12</v>
      </c>
      <c r="I9" s="4">
        <f>I7+I8</f>
        <v>9.8021914648212222E-2</v>
      </c>
    </row>
    <row r="10" spans="2:19" x14ac:dyDescent="0.25">
      <c r="C10" t="s">
        <v>32</v>
      </c>
      <c r="D10" s="6">
        <v>35000</v>
      </c>
    </row>
    <row r="11" spans="2:19" x14ac:dyDescent="0.25">
      <c r="C11" t="s">
        <v>33</v>
      </c>
      <c r="D11" s="6">
        <f>15000/5</f>
        <v>3000</v>
      </c>
      <c r="H11" s="3" t="s">
        <v>16</v>
      </c>
      <c r="I11" s="3">
        <v>92.6</v>
      </c>
    </row>
    <row r="12" spans="2:19" x14ac:dyDescent="0.25">
      <c r="C12" s="11" t="s">
        <v>26</v>
      </c>
      <c r="D12" s="14">
        <f>220000*0.107</f>
        <v>23540</v>
      </c>
      <c r="H12" s="3" t="s">
        <v>17</v>
      </c>
      <c r="I12" s="3">
        <v>822.3</v>
      </c>
    </row>
    <row r="13" spans="2:19" x14ac:dyDescent="0.25">
      <c r="C13" s="8" t="s">
        <v>34</v>
      </c>
      <c r="D13" s="15">
        <f>SUM(D10:D12)</f>
        <v>61540</v>
      </c>
      <c r="F13">
        <f>125/6936</f>
        <v>1.8021914648212227E-2</v>
      </c>
      <c r="H13" s="3" t="s">
        <v>18</v>
      </c>
      <c r="I13" s="4">
        <f>I11/I12</f>
        <v>0.11261096923264015</v>
      </c>
    </row>
    <row r="14" spans="2:19" x14ac:dyDescent="0.25">
      <c r="F14">
        <f>92/822</f>
        <v>0.11192214111922141</v>
      </c>
    </row>
    <row r="15" spans="2:19" x14ac:dyDescent="0.25">
      <c r="B15" s="16" t="s">
        <v>35</v>
      </c>
      <c r="C15" s="17"/>
      <c r="D15" s="18">
        <f>D7-D13</f>
        <v>-28540</v>
      </c>
    </row>
    <row r="16" spans="2:19" x14ac:dyDescent="0.25">
      <c r="H16" s="3"/>
      <c r="I16" s="5" t="s">
        <v>19</v>
      </c>
      <c r="J16" s="5" t="s">
        <v>22</v>
      </c>
      <c r="K16" s="5" t="s">
        <v>24</v>
      </c>
    </row>
    <row r="17" spans="8:11" x14ac:dyDescent="0.25">
      <c r="H17" s="3" t="s">
        <v>20</v>
      </c>
      <c r="I17" s="7">
        <v>2940</v>
      </c>
      <c r="J17" s="7">
        <v>1664</v>
      </c>
      <c r="K17" s="7">
        <f>SUM(I17:J17)</f>
        <v>4604</v>
      </c>
    </row>
    <row r="18" spans="8:11" x14ac:dyDescent="0.25">
      <c r="H18" s="3" t="s">
        <v>23</v>
      </c>
      <c r="I18" s="4">
        <f>I17/4604</f>
        <v>0.6385751520417029</v>
      </c>
      <c r="J18" s="4">
        <f>J17/4604</f>
        <v>0.36142484795829716</v>
      </c>
      <c r="K18" s="9">
        <f t="shared" ref="K18:K20" si="1">SUM(I18:J18)</f>
        <v>1</v>
      </c>
    </row>
    <row r="19" spans="8:11" x14ac:dyDescent="0.25">
      <c r="H19" s="3" t="s">
        <v>21</v>
      </c>
      <c r="I19" s="10">
        <f>I13</f>
        <v>0.11261096923264015</v>
      </c>
      <c r="J19" s="10">
        <f>I9</f>
        <v>9.8021914648212222E-2</v>
      </c>
      <c r="K19" s="9">
        <f t="shared" si="1"/>
        <v>0.21063288388085238</v>
      </c>
    </row>
    <row r="20" spans="8:11" x14ac:dyDescent="0.25">
      <c r="H20" s="3" t="s">
        <v>25</v>
      </c>
      <c r="I20" s="10">
        <f>I18*I19</f>
        <v>7.1910566799296707E-2</v>
      </c>
      <c r="J20" s="10">
        <f>J18*J19</f>
        <v>3.5427555598311282E-2</v>
      </c>
      <c r="K20" s="9">
        <f t="shared" si="1"/>
        <v>0.10733812239760798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7"/>
  <sheetViews>
    <sheetView workbookViewId="0">
      <selection activeCell="E4" sqref="E4"/>
    </sheetView>
  </sheetViews>
  <sheetFormatPr defaultRowHeight="15" x14ac:dyDescent="0.25"/>
  <cols>
    <col min="3" max="3" width="11.140625" bestFit="1" customWidth="1"/>
    <col min="4" max="4" width="13.140625" customWidth="1"/>
    <col min="5" max="6" width="15" customWidth="1"/>
  </cols>
  <sheetData>
    <row r="3" spans="3:6" x14ac:dyDescent="0.25">
      <c r="C3" s="3"/>
      <c r="D3" s="5" t="s">
        <v>39</v>
      </c>
      <c r="E3" s="5" t="s">
        <v>40</v>
      </c>
      <c r="F3" s="5" t="s">
        <v>41</v>
      </c>
    </row>
    <row r="4" spans="3:6" x14ac:dyDescent="0.25">
      <c r="C4" s="3" t="s">
        <v>36</v>
      </c>
      <c r="D4" s="19">
        <v>80</v>
      </c>
      <c r="E4" s="3">
        <v>4600</v>
      </c>
      <c r="F4" s="7">
        <f>D4*E4</f>
        <v>368000</v>
      </c>
    </row>
    <row r="5" spans="3:6" x14ac:dyDescent="0.25">
      <c r="C5" s="3" t="s">
        <v>37</v>
      </c>
      <c r="D5" s="19">
        <v>25</v>
      </c>
      <c r="E5" s="3">
        <v>2200</v>
      </c>
      <c r="F5" s="7">
        <f t="shared" ref="F5:F6" si="0">D5*E5</f>
        <v>55000</v>
      </c>
    </row>
    <row r="6" spans="3:6" x14ac:dyDescent="0.25">
      <c r="C6" s="3" t="s">
        <v>38</v>
      </c>
      <c r="D6" s="19">
        <v>25</v>
      </c>
      <c r="E6" s="3">
        <v>150</v>
      </c>
      <c r="F6" s="7">
        <f t="shared" si="0"/>
        <v>3750</v>
      </c>
    </row>
    <row r="7" spans="3:6" x14ac:dyDescent="0.25">
      <c r="E7" s="8" t="s">
        <v>24</v>
      </c>
      <c r="F7" s="15">
        <f>SUM(F4:F6)</f>
        <v>426750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22"/>
  <sheetViews>
    <sheetView workbookViewId="0">
      <selection activeCell="F12" sqref="F12"/>
    </sheetView>
  </sheetViews>
  <sheetFormatPr defaultRowHeight="15" x14ac:dyDescent="0.25"/>
  <cols>
    <col min="3" max="3" width="26.85546875" bestFit="1" customWidth="1"/>
    <col min="4" max="7" width="13" customWidth="1"/>
  </cols>
  <sheetData>
    <row r="5" spans="3:10" x14ac:dyDescent="0.25">
      <c r="D5" s="8">
        <v>1998</v>
      </c>
      <c r="E5" s="8">
        <v>1999</v>
      </c>
      <c r="F5" s="8">
        <v>2000</v>
      </c>
      <c r="G5" s="8">
        <v>2001</v>
      </c>
      <c r="H5" s="8">
        <v>2002</v>
      </c>
      <c r="I5" s="8">
        <v>2003</v>
      </c>
    </row>
    <row r="6" spans="3:10" x14ac:dyDescent="0.25">
      <c r="C6" t="s">
        <v>42</v>
      </c>
      <c r="D6">
        <v>252</v>
      </c>
      <c r="E6">
        <v>314</v>
      </c>
      <c r="F6">
        <v>320</v>
      </c>
      <c r="G6">
        <v>434</v>
      </c>
      <c r="H6">
        <v>534</v>
      </c>
      <c r="I6">
        <v>547</v>
      </c>
      <c r="J6" s="1"/>
    </row>
    <row r="7" spans="3:10" x14ac:dyDescent="0.25">
      <c r="C7" t="s">
        <v>43</v>
      </c>
      <c r="F7">
        <v>89</v>
      </c>
      <c r="G7">
        <v>138</v>
      </c>
      <c r="H7">
        <v>339</v>
      </c>
      <c r="I7">
        <v>694</v>
      </c>
      <c r="J7" s="1"/>
    </row>
    <row r="8" spans="3:10" x14ac:dyDescent="0.25">
      <c r="C8" t="s">
        <v>44</v>
      </c>
      <c r="E8">
        <v>7.1</v>
      </c>
      <c r="F8">
        <v>17.100000000000001</v>
      </c>
      <c r="G8">
        <v>16</v>
      </c>
      <c r="H8">
        <v>23</v>
      </c>
      <c r="I8">
        <v>-14</v>
      </c>
      <c r="J8" s="1"/>
    </row>
    <row r="9" spans="3:10" x14ac:dyDescent="0.25">
      <c r="C9" t="s">
        <v>45</v>
      </c>
      <c r="D9">
        <v>29</v>
      </c>
      <c r="E9">
        <v>61</v>
      </c>
      <c r="F9">
        <v>41</v>
      </c>
      <c r="G9">
        <v>9</v>
      </c>
      <c r="H9">
        <v>-55</v>
      </c>
      <c r="I9">
        <v>-128</v>
      </c>
      <c r="J9" s="1"/>
    </row>
    <row r="10" spans="3:10" x14ac:dyDescent="0.25">
      <c r="C10" t="s">
        <v>46</v>
      </c>
      <c r="D10">
        <v>12</v>
      </c>
      <c r="E10">
        <v>2.5</v>
      </c>
      <c r="F10">
        <v>5</v>
      </c>
      <c r="G10">
        <v>6</v>
      </c>
      <c r="H10">
        <v>7</v>
      </c>
      <c r="I10">
        <v>10</v>
      </c>
      <c r="J10" s="1"/>
    </row>
    <row r="11" spans="3:10" x14ac:dyDescent="0.25">
      <c r="C11" t="s">
        <v>47</v>
      </c>
      <c r="D11">
        <v>3</v>
      </c>
      <c r="E11">
        <v>-1</v>
      </c>
      <c r="F11">
        <v>-60</v>
      </c>
      <c r="G11">
        <v>-130</v>
      </c>
      <c r="H11">
        <v>-131</v>
      </c>
      <c r="I11">
        <v>-122</v>
      </c>
    </row>
    <row r="12" spans="3:10" x14ac:dyDescent="0.25">
      <c r="I12">
        <f>SUM(I6:I11)</f>
        <v>987</v>
      </c>
    </row>
    <row r="15" spans="3:10" s="21" customFormat="1" ht="30" x14ac:dyDescent="0.25">
      <c r="C15" s="22" t="s">
        <v>51</v>
      </c>
      <c r="D15" s="20" t="s">
        <v>41</v>
      </c>
      <c r="E15" s="20" t="s">
        <v>48</v>
      </c>
      <c r="F15" s="20" t="s">
        <v>50</v>
      </c>
      <c r="G15" s="20" t="s">
        <v>49</v>
      </c>
    </row>
    <row r="16" spans="3:10" x14ac:dyDescent="0.25">
      <c r="C16" s="3" t="s">
        <v>42</v>
      </c>
      <c r="D16" s="7">
        <f>I6</f>
        <v>547</v>
      </c>
      <c r="E16" s="7">
        <v>281</v>
      </c>
      <c r="F16" s="9">
        <f>E16/$E$22</f>
        <v>6.1060408518035639E-2</v>
      </c>
      <c r="G16" s="4">
        <f>D16/E16</f>
        <v>1.9466192170818506</v>
      </c>
    </row>
    <row r="17" spans="3:7" x14ac:dyDescent="0.25">
      <c r="C17" s="3" t="s">
        <v>43</v>
      </c>
      <c r="D17" s="7">
        <f t="shared" ref="D17:D21" si="0">I7</f>
        <v>694</v>
      </c>
      <c r="E17" s="7">
        <v>1157</v>
      </c>
      <c r="F17" s="9">
        <f t="shared" ref="F17:F21" si="1">E17/$E$22</f>
        <v>0.25141242937853109</v>
      </c>
      <c r="G17" s="4">
        <f>D17/E17</f>
        <v>0.5998271391529818</v>
      </c>
    </row>
    <row r="18" spans="3:7" x14ac:dyDescent="0.25">
      <c r="C18" s="3" t="s">
        <v>44</v>
      </c>
      <c r="D18" s="7">
        <f t="shared" si="0"/>
        <v>-14</v>
      </c>
      <c r="E18" s="7">
        <v>675</v>
      </c>
      <c r="F18" s="9">
        <f t="shared" si="1"/>
        <v>0.14667535853976532</v>
      </c>
      <c r="G18" s="4">
        <f>D18/E18</f>
        <v>-2.074074074074074E-2</v>
      </c>
    </row>
    <row r="19" spans="3:7" x14ac:dyDescent="0.25">
      <c r="C19" s="3" t="s">
        <v>45</v>
      </c>
      <c r="D19" s="7">
        <f t="shared" si="0"/>
        <v>-128</v>
      </c>
      <c r="E19" s="7">
        <v>1489</v>
      </c>
      <c r="F19" s="9">
        <f t="shared" si="1"/>
        <v>0.32355497609734896</v>
      </c>
      <c r="G19" s="4">
        <f>D19/E19</f>
        <v>-8.5963734049697788E-2</v>
      </c>
    </row>
    <row r="20" spans="3:7" x14ac:dyDescent="0.25">
      <c r="C20" s="3" t="s">
        <v>46</v>
      </c>
      <c r="D20" s="7">
        <f t="shared" si="0"/>
        <v>10</v>
      </c>
      <c r="E20" s="7">
        <v>33</v>
      </c>
      <c r="F20" s="9">
        <f t="shared" si="1"/>
        <v>7.1707953063885263E-3</v>
      </c>
      <c r="G20" s="4">
        <f>D20/E20</f>
        <v>0.30303030303030304</v>
      </c>
    </row>
    <row r="21" spans="3:7" x14ac:dyDescent="0.25">
      <c r="C21" s="3" t="s">
        <v>47</v>
      </c>
      <c r="D21" s="7">
        <f t="shared" si="0"/>
        <v>-122</v>
      </c>
      <c r="E21" s="7">
        <v>967</v>
      </c>
      <c r="F21" s="9">
        <f t="shared" si="1"/>
        <v>0.21012603215993048</v>
      </c>
      <c r="G21" s="4">
        <f>D21/E21</f>
        <v>-0.12616339193381593</v>
      </c>
    </row>
    <row r="22" spans="3:7" x14ac:dyDescent="0.25">
      <c r="E22">
        <f>SUM(E16:E21)</f>
        <v>4602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ATM mesach</vt:lpstr>
      <vt:lpstr>trend</vt:lpstr>
      <vt:lpstr>BU Proficability</vt:lpstr>
    </vt:vector>
  </TitlesOfParts>
  <Company>Stikeman Elliott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Foucher</dc:creator>
  <cp:lastModifiedBy>Simon Foucher</cp:lastModifiedBy>
  <dcterms:created xsi:type="dcterms:W3CDTF">2015-07-18T19:24:09Z</dcterms:created>
  <dcterms:modified xsi:type="dcterms:W3CDTF">2015-07-18T21:27:21Z</dcterms:modified>
</cp:coreProperties>
</file>