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5" yWindow="180" windowWidth="15525" windowHeight="7995" tabRatio="702"/>
  </bookViews>
  <sheets>
    <sheet name="EX1 FLEX  BUD" sheetId="4" r:id="rId1"/>
    <sheet name="EX2 - L2 - EFF. and VOL VAR" sheetId="7" r:id="rId2"/>
    <sheet name="EX3  Pivots" sheetId="11" r:id="rId3"/>
    <sheet name="Ex3 DtL3 - PRICE AND EFFICIENCY" sheetId="9" r:id="rId4"/>
    <sheet name="EX 4" sheetId="14" r:id="rId5"/>
    <sheet name="L1 - STATIC BUDGET" sheetId="1" r:id="rId6"/>
    <sheet name="Contacts" sheetId="10" r:id="rId7"/>
  </sheets>
  <calcPr calcId="145621"/>
  <pivotCaches>
    <pivotCache cacheId="135" r:id="rId8"/>
  </pivotCaches>
</workbook>
</file>

<file path=xl/calcChain.xml><?xml version="1.0" encoding="utf-8"?>
<calcChain xmlns="http://schemas.openxmlformats.org/spreadsheetml/2006/main">
  <c r="G11" i="14" l="1"/>
  <c r="I11" i="14" s="1"/>
  <c r="D11" i="14" s="1"/>
  <c r="G10" i="14"/>
  <c r="I10" i="14" s="1"/>
  <c r="D10" i="14" s="1"/>
  <c r="D9" i="14"/>
  <c r="G6" i="14"/>
  <c r="I6" i="14" s="1"/>
  <c r="H5" i="14"/>
  <c r="G5" i="14"/>
  <c r="D4" i="14"/>
  <c r="O29" i="4"/>
  <c r="N29" i="4"/>
  <c r="E31" i="4"/>
  <c r="H8" i="9"/>
  <c r="H9" i="9"/>
  <c r="H16" i="9"/>
  <c r="H17" i="9"/>
  <c r="H20" i="9"/>
  <c r="H21" i="9"/>
  <c r="H24" i="9"/>
  <c r="H25" i="9"/>
  <c r="K22" i="9"/>
  <c r="J23" i="9"/>
  <c r="L23" i="9" s="1"/>
  <c r="H23" i="9" s="1"/>
  <c r="J22" i="9"/>
  <c r="M7" i="9"/>
  <c r="N7" i="9" s="1"/>
  <c r="H7" i="9" s="1"/>
  <c r="M6" i="9"/>
  <c r="N6" i="9" s="1"/>
  <c r="H6" i="9" s="1"/>
  <c r="I5" i="14" l="1"/>
  <c r="D6" i="14"/>
  <c r="D5" i="14"/>
  <c r="L22" i="9"/>
  <c r="H22" i="9" s="1"/>
  <c r="J19" i="9"/>
  <c r="J18" i="9"/>
  <c r="K13" i="9"/>
  <c r="K15" i="9" s="1"/>
  <c r="K12" i="9"/>
  <c r="K14" i="9" s="1"/>
  <c r="J13" i="9"/>
  <c r="J15" i="9" s="1"/>
  <c r="J12" i="9"/>
  <c r="J14" i="9" s="1"/>
  <c r="F10" i="4"/>
  <c r="H10" i="4"/>
  <c r="K4" i="9"/>
  <c r="E28" i="7"/>
  <c r="G12" i="4"/>
  <c r="G13" i="4" s="1"/>
  <c r="G15" i="4"/>
  <c r="G16" i="4"/>
  <c r="G24" i="4"/>
  <c r="G25" i="4"/>
  <c r="G26" i="4"/>
  <c r="E26" i="4"/>
  <c r="N26" i="4"/>
  <c r="N25" i="4"/>
  <c r="E25" i="4"/>
  <c r="N24" i="4"/>
  <c r="E24" i="4"/>
  <c r="F24" i="4" s="1"/>
  <c r="K16" i="4"/>
  <c r="K15" i="4"/>
  <c r="K19" i="9" l="1"/>
  <c r="M19" i="9" s="1"/>
  <c r="N19" i="9" s="1"/>
  <c r="H19" i="9" s="1"/>
  <c r="K18" i="9"/>
  <c r="M18" i="9" s="1"/>
  <c r="G27" i="4"/>
  <c r="L15" i="9"/>
  <c r="N15" i="9" s="1"/>
  <c r="H15" i="9" s="1"/>
  <c r="L14" i="9"/>
  <c r="N14" i="9" s="1"/>
  <c r="H14" i="9" s="1"/>
  <c r="G17" i="4"/>
  <c r="G19" i="4" s="1"/>
  <c r="G21" i="4" s="1"/>
  <c r="G29" i="4"/>
  <c r="F12" i="4"/>
  <c r="H12" i="4" s="1"/>
  <c r="M5" i="9"/>
  <c r="N5" i="9" s="1"/>
  <c r="H5" i="9" s="1"/>
  <c r="M4" i="9"/>
  <c r="N4" i="9" s="1"/>
  <c r="H4" i="9" s="1"/>
  <c r="L11" i="9"/>
  <c r="N11" i="9" s="1"/>
  <c r="H11" i="9" s="1"/>
  <c r="L10" i="9"/>
  <c r="N10" i="9" s="1"/>
  <c r="H10" i="9" s="1"/>
  <c r="L13" i="9"/>
  <c r="N13" i="9" s="1"/>
  <c r="H13" i="9" s="1"/>
  <c r="L12" i="9"/>
  <c r="N12" i="9" s="1"/>
  <c r="H12" i="9" s="1"/>
  <c r="H6" i="7"/>
  <c r="H5" i="7"/>
  <c r="H28" i="7"/>
  <c r="G32" i="7"/>
  <c r="H32" i="7" s="1"/>
  <c r="G31" i="7"/>
  <c r="E31" i="7" s="1"/>
  <c r="J16" i="7"/>
  <c r="D16" i="7"/>
  <c r="G10" i="7"/>
  <c r="H10" i="7" s="1"/>
  <c r="G9" i="7"/>
  <c r="G11" i="7" s="1"/>
  <c r="G20" i="7" s="1"/>
  <c r="J30" i="7"/>
  <c r="D30" i="7"/>
  <c r="J29" i="7"/>
  <c r="D29" i="7"/>
  <c r="J21" i="7"/>
  <c r="J23" i="7" s="1"/>
  <c r="D21" i="7"/>
  <c r="J11" i="7"/>
  <c r="D11" i="7"/>
  <c r="P26" i="4"/>
  <c r="P25" i="4"/>
  <c r="O25" i="4"/>
  <c r="F25" i="4"/>
  <c r="F26" i="4"/>
  <c r="P15" i="4"/>
  <c r="P24" i="4"/>
  <c r="O24" i="4"/>
  <c r="O15" i="4"/>
  <c r="N18" i="9" l="1"/>
  <c r="H18" i="9" s="1"/>
  <c r="E10" i="7"/>
  <c r="E11" i="7"/>
  <c r="G19" i="7"/>
  <c r="E19" i="7" s="1"/>
  <c r="H11" i="7"/>
  <c r="D23" i="7"/>
  <c r="E32" i="7"/>
  <c r="D33" i="7"/>
  <c r="E20" i="7"/>
  <c r="H20" i="7"/>
  <c r="J25" i="7"/>
  <c r="G30" i="7"/>
  <c r="E30" i="7" s="1"/>
  <c r="J33" i="7"/>
  <c r="D25" i="7"/>
  <c r="H31" i="7"/>
  <c r="G21" i="7"/>
  <c r="E21" i="7" s="1"/>
  <c r="H9" i="7"/>
  <c r="G29" i="7"/>
  <c r="E9" i="7"/>
  <c r="G38" i="4"/>
  <c r="P16" i="4"/>
  <c r="O10" i="4"/>
  <c r="Q10" i="4" s="1"/>
  <c r="F11" i="4"/>
  <c r="H11" i="4" s="1"/>
  <c r="D35" i="7" l="1"/>
  <c r="H19" i="7"/>
  <c r="E29" i="7"/>
  <c r="G33" i="7"/>
  <c r="E33" i="7" s="1"/>
  <c r="H29" i="7"/>
  <c r="H30" i="7"/>
  <c r="H21" i="7"/>
  <c r="J35" i="7"/>
  <c r="F13" i="4"/>
  <c r="F27" i="4"/>
  <c r="N13" i="4"/>
  <c r="E13" i="4"/>
  <c r="P12" i="4"/>
  <c r="P13" i="4" s="1"/>
  <c r="O11" i="4"/>
  <c r="Q11" i="4" s="1"/>
  <c r="O12" i="4"/>
  <c r="Q12" i="4" s="1"/>
  <c r="O26" i="4"/>
  <c r="E27" i="4"/>
  <c r="N7" i="4"/>
  <c r="E7" i="4"/>
  <c r="E15" i="4" s="1"/>
  <c r="F30" i="1"/>
  <c r="E30" i="1"/>
  <c r="E29" i="1"/>
  <c r="D29" i="1"/>
  <c r="D30" i="1"/>
  <c r="F32" i="1"/>
  <c r="F31" i="1"/>
  <c r="F29" i="1"/>
  <c r="F21" i="1"/>
  <c r="F20" i="1"/>
  <c r="F19" i="1"/>
  <c r="F15" i="1"/>
  <c r="F14" i="1"/>
  <c r="F28" i="1"/>
  <c r="F10" i="1"/>
  <c r="F9" i="1"/>
  <c r="F6" i="1"/>
  <c r="F5" i="1"/>
  <c r="E21" i="1"/>
  <c r="D21" i="1"/>
  <c r="D23" i="1"/>
  <c r="G14" i="7" l="1"/>
  <c r="E14" i="7" s="1"/>
  <c r="H13" i="4"/>
  <c r="H33" i="7"/>
  <c r="E16" i="4"/>
  <c r="F7" i="4"/>
  <c r="N16" i="4"/>
  <c r="O16" i="4" s="1"/>
  <c r="O17" i="4" s="1"/>
  <c r="N15" i="4"/>
  <c r="P27" i="4"/>
  <c r="O13" i="4"/>
  <c r="P17" i="4"/>
  <c r="P19" i="4" s="1"/>
  <c r="P21" i="4" s="1"/>
  <c r="O27" i="4"/>
  <c r="E33" i="1"/>
  <c r="E23" i="1"/>
  <c r="F23" i="1" s="1"/>
  <c r="E11" i="1"/>
  <c r="F11" i="1" s="1"/>
  <c r="D33" i="1"/>
  <c r="D11" i="1"/>
  <c r="G15" i="7" l="1"/>
  <c r="H15" i="7" s="1"/>
  <c r="H16" i="7" s="1"/>
  <c r="H23" i="7" s="1"/>
  <c r="Q13" i="4"/>
  <c r="G16" i="7"/>
  <c r="E16" i="7" s="1"/>
  <c r="H14" i="7"/>
  <c r="F15" i="4"/>
  <c r="B15" i="4"/>
  <c r="B16" i="4"/>
  <c r="F16" i="4" s="1"/>
  <c r="N17" i="4"/>
  <c r="N19" i="4" s="1"/>
  <c r="N21" i="4" s="1"/>
  <c r="E17" i="4"/>
  <c r="E19" i="4" s="1"/>
  <c r="E21" i="4" s="1"/>
  <c r="O19" i="4"/>
  <c r="P29" i="4"/>
  <c r="D25" i="1"/>
  <c r="E25" i="1"/>
  <c r="F25" i="1" s="1"/>
  <c r="F33" i="1"/>
  <c r="G23" i="7" l="1"/>
  <c r="G25" i="7" s="1"/>
  <c r="N31" i="4"/>
  <c r="F17" i="4"/>
  <c r="F19" i="4" s="1"/>
  <c r="F21" i="4" s="1"/>
  <c r="F29" i="4" s="1"/>
  <c r="E15" i="7"/>
  <c r="E29" i="4"/>
  <c r="E23" i="7"/>
  <c r="O21" i="4"/>
  <c r="E35" i="1"/>
  <c r="D35" i="1"/>
  <c r="H25" i="7" l="1"/>
  <c r="G35" i="7"/>
  <c r="E25" i="7"/>
  <c r="F35" i="1"/>
  <c r="H35" i="7" l="1"/>
  <c r="H38" i="7" s="1"/>
  <c r="E35" i="7"/>
  <c r="E38" i="7" s="1"/>
  <c r="F37" i="1"/>
  <c r="G41" i="7" l="1"/>
</calcChain>
</file>

<file path=xl/sharedStrings.xml><?xml version="1.0" encoding="utf-8"?>
<sst xmlns="http://schemas.openxmlformats.org/spreadsheetml/2006/main" count="381" uniqueCount="152">
  <si>
    <t>Sales</t>
  </si>
  <si>
    <t>Plastic</t>
  </si>
  <si>
    <t>Metal</t>
  </si>
  <si>
    <t>Actual</t>
  </si>
  <si>
    <t>Budget</t>
  </si>
  <si>
    <t>Sales Revenues</t>
  </si>
  <si>
    <t>Total Sales</t>
  </si>
  <si>
    <t>MFG-Plastic</t>
  </si>
  <si>
    <t>MFG-Metal</t>
  </si>
  <si>
    <t>Commissions</t>
  </si>
  <si>
    <t>AFDA</t>
  </si>
  <si>
    <t>Total Variable Cost</t>
  </si>
  <si>
    <t>Contribution Margin</t>
  </si>
  <si>
    <t>Other Costs</t>
  </si>
  <si>
    <t>Fixed SGA</t>
  </si>
  <si>
    <t>Corporate Office Allocation</t>
  </si>
  <si>
    <t>Total Other Costs</t>
  </si>
  <si>
    <t>Division Operating Income</t>
  </si>
  <si>
    <t>Var. MFG Cost variance from Standard</t>
  </si>
  <si>
    <t>STATIC BUDGET VARIANCE</t>
  </si>
  <si>
    <t>Purchases</t>
  </si>
  <si>
    <t>Price</t>
  </si>
  <si>
    <t>Budgeted/Unit</t>
  </si>
  <si>
    <t>Revenues</t>
  </si>
  <si>
    <t>PLASTIC</t>
  </si>
  <si>
    <t>Variance</t>
  </si>
  <si>
    <t>METAL</t>
  </si>
  <si>
    <t>Volume (Units)</t>
  </si>
  <si>
    <t>Less Manufacturing Variable Costs</t>
  </si>
  <si>
    <t>Selling Variable Costs</t>
  </si>
  <si>
    <t>Total Selling Variable Costs</t>
  </si>
  <si>
    <t>Fixed MFG Costs Plastic</t>
  </si>
  <si>
    <t>Fixed MFG Costs Metal</t>
  </si>
  <si>
    <t>Budgeted</t>
  </si>
  <si>
    <t>Cost Driver</t>
  </si>
  <si>
    <t>Raw Materials</t>
  </si>
  <si>
    <t>DL</t>
  </si>
  <si>
    <t>Mfg Overhead</t>
  </si>
  <si>
    <t>Total Manufacturing Variable Costs</t>
  </si>
  <si>
    <t>Sold</t>
  </si>
  <si>
    <t>Made</t>
  </si>
  <si>
    <t>Flex Budget</t>
  </si>
  <si>
    <t>Qty Sold</t>
  </si>
  <si>
    <t>Qty Made</t>
  </si>
  <si>
    <t>Had inventory; didn't need to buy that much</t>
  </si>
  <si>
    <t>Manufacturing</t>
  </si>
  <si>
    <t>Used 56k material to make 55k chairs - $ waste</t>
  </si>
  <si>
    <t>used 23k materials to make 22.5k chairs - maretial waste</t>
  </si>
  <si>
    <t>More DL and OH (Supplies, benefits, power)</t>
  </si>
  <si>
    <t>Almost on target OH + DL</t>
  </si>
  <si>
    <t>Fixed OH (Supervison, dep, taxes)- neg varience. Even though made less than varience, still shitty results (12k unexplained)</t>
  </si>
  <si>
    <t>Smaller U varience for OH, perhaps OH Cost allocation is not accurate?</t>
  </si>
  <si>
    <t>Show pie chats of cost drivers</t>
  </si>
  <si>
    <t>Plastic chairs are not profitable</t>
  </si>
  <si>
    <t>Sold more, less comission,</t>
  </si>
  <si>
    <t>Budget 10</t>
  </si>
  <si>
    <t xml:space="preserve">Actual </t>
  </si>
  <si>
    <t>Undebudgeted sales comission</t>
  </si>
  <si>
    <t>Inventory - Bought too much</t>
  </si>
  <si>
    <t>Presentation</t>
  </si>
  <si>
    <t>Theory of budgets</t>
  </si>
  <si>
    <t>Commissions (0.5% sales)</t>
  </si>
  <si>
    <t>Why bought 60k for the quarter since didn't get bulk discount?</t>
  </si>
  <si>
    <t>Flexible Budget</t>
  </si>
  <si>
    <t>Volume Variance</t>
  </si>
  <si>
    <t>Efficiency Variance</t>
  </si>
  <si>
    <t>Commissions (5% sales)</t>
  </si>
  <si>
    <t>AFDA (1% sales)</t>
  </si>
  <si>
    <t>F</t>
  </si>
  <si>
    <t>U</t>
  </si>
  <si>
    <t>Leo</t>
  </si>
  <si>
    <t>How unit costs were calculated - what are the cost drivers</t>
  </si>
  <si>
    <t>Explain how 32k$ of varience came from - show presentation slide</t>
  </si>
  <si>
    <t>Salaes comission based on CM instead of total sales</t>
  </si>
  <si>
    <t>Explain areas of varience (what if analysis if price was increased - sold more than forecast). Important to explain 49k mfg varience, mostly 65 cent difference</t>
  </si>
  <si>
    <t>Recommendations - new pricing? And answer questions</t>
  </si>
  <si>
    <t>Situation analysis (target - losing market share on metal)</t>
  </si>
  <si>
    <t>Price Variance</t>
  </si>
  <si>
    <t>Actual Input Used</t>
  </si>
  <si>
    <t>Raw Materials - Plastic</t>
  </si>
  <si>
    <t>Raw Materials - Metal</t>
  </si>
  <si>
    <t>DL - Plastic</t>
  </si>
  <si>
    <t>DL Metal</t>
  </si>
  <si>
    <t>Budgeted Allowed</t>
  </si>
  <si>
    <t>Budgeted Price</t>
  </si>
  <si>
    <t>(Flex Budget Variance) Efficiency Variance</t>
  </si>
  <si>
    <t>Kenny</t>
  </si>
  <si>
    <t>514 691-2920</t>
  </si>
  <si>
    <t>514 655-4499</t>
  </si>
  <si>
    <t>Mohamed</t>
  </si>
  <si>
    <t>Simon</t>
  </si>
  <si>
    <t>514 573-6173</t>
  </si>
  <si>
    <t>514 769-2375</t>
  </si>
  <si>
    <t>$ Sold</t>
  </si>
  <si>
    <t>CONTRIBUTION MARGING % SALES</t>
  </si>
  <si>
    <t>Total Manufacturing Variable Cost</t>
  </si>
  <si>
    <t>PRICE VARIANCES</t>
  </si>
  <si>
    <t xml:space="preserve">Actual Quantity </t>
  </si>
  <si>
    <t xml:space="preserve">Actual Price </t>
  </si>
  <si>
    <t>Difference in price</t>
  </si>
  <si>
    <t>Quantity Required</t>
  </si>
  <si>
    <t>Quantity Purchased</t>
  </si>
  <si>
    <t>Effect on stock</t>
  </si>
  <si>
    <t>Cost of new Inventory</t>
  </si>
  <si>
    <t>EFFICIENCY VARIANCES</t>
  </si>
  <si>
    <t>Purchasing</t>
  </si>
  <si>
    <t>Delta in units</t>
  </si>
  <si>
    <t>Cost per unit</t>
  </si>
  <si>
    <t>Total OH Cost</t>
  </si>
  <si>
    <t>Variable cost per unit</t>
  </si>
  <si>
    <t>Budgeted Variable cost per unit</t>
  </si>
  <si>
    <t>Delta in cost per unit</t>
  </si>
  <si>
    <t>Spending Variance</t>
  </si>
  <si>
    <t>DM</t>
  </si>
  <si>
    <t>Material</t>
  </si>
  <si>
    <t>Cost Type</t>
  </si>
  <si>
    <t>Cost Category</t>
  </si>
  <si>
    <t>PRICE</t>
  </si>
  <si>
    <t>EFFICIENCY</t>
  </si>
  <si>
    <t>Variable MFG OH - Plastic</t>
  </si>
  <si>
    <t>Variable MFG OH - Metal</t>
  </si>
  <si>
    <t>Production Scheduling</t>
  </si>
  <si>
    <t>HR (Selecting Staff)</t>
  </si>
  <si>
    <t>Responsibility</t>
  </si>
  <si>
    <t>DL - Price - Plastic</t>
  </si>
  <si>
    <t>DL - Price - Metal</t>
  </si>
  <si>
    <t>Fixed OH</t>
  </si>
  <si>
    <t>Var OH</t>
  </si>
  <si>
    <t>QTY</t>
  </si>
  <si>
    <t>Item</t>
  </si>
  <si>
    <t>Row Labels</t>
  </si>
  <si>
    <t>Grand Total</t>
  </si>
  <si>
    <t>Sum of Variance</t>
  </si>
  <si>
    <t>Column Labels</t>
  </si>
  <si>
    <t>Included in Variance</t>
  </si>
  <si>
    <t>N</t>
  </si>
  <si>
    <t>Y</t>
  </si>
  <si>
    <t>Actual Manufactured</t>
  </si>
  <si>
    <t>Actual Sold</t>
  </si>
  <si>
    <t>QTY From INV</t>
  </si>
  <si>
    <t>Var</t>
  </si>
  <si>
    <t>SPENDING</t>
  </si>
  <si>
    <t>AFDA (1% Sales)</t>
  </si>
  <si>
    <t>VARIABLE OH SPENDING VARIANCE</t>
  </si>
  <si>
    <t>FIXED OH SPENDING VARIANCE</t>
  </si>
  <si>
    <t>INVENTORY MANAGEMENT</t>
  </si>
  <si>
    <t>CHANGES IN RAW MATERIALS</t>
  </si>
  <si>
    <t>CHANGES IN FINISHED GOODS</t>
  </si>
  <si>
    <t>Unit Cost</t>
  </si>
  <si>
    <t>Material Cost</t>
  </si>
  <si>
    <t>Plastic Fixed PH</t>
  </si>
  <si>
    <t>Metal Fixed 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</si>
</sst>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  <numFmt numFmtId="168" formatCode="_(&quot;$&quot;* #,##0.0_);_(&quot;$&quot;* \(#,##0.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164" fontId="0" fillId="0" borderId="0" xfId="0" applyNumberFormat="1"/>
    <xf numFmtId="0" fontId="1" fillId="0" borderId="0" xfId="0" applyFont="1"/>
    <xf numFmtId="164" fontId="0" fillId="0" borderId="0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0" xfId="0" applyAlignment="1">
      <alignment wrapText="1"/>
    </xf>
    <xf numFmtId="37" fontId="0" fillId="0" borderId="0" xfId="0" applyNumberFormat="1"/>
    <xf numFmtId="165" fontId="0" fillId="0" borderId="0" xfId="0" applyNumberFormat="1"/>
    <xf numFmtId="166" fontId="0" fillId="0" borderId="0" xfId="0" applyNumberFormat="1"/>
    <xf numFmtId="165" fontId="0" fillId="0" borderId="1" xfId="0" applyNumberFormat="1" applyBorder="1"/>
    <xf numFmtId="165" fontId="0" fillId="0" borderId="3" xfId="0" applyNumberFormat="1" applyBorder="1"/>
    <xf numFmtId="165" fontId="0" fillId="0" borderId="2" xfId="0" applyNumberFormat="1" applyBorder="1"/>
    <xf numFmtId="3" fontId="0" fillId="0" borderId="0" xfId="0" applyNumberFormat="1"/>
    <xf numFmtId="165" fontId="0" fillId="0" borderId="0" xfId="0" applyNumberFormat="1" applyBorder="1"/>
    <xf numFmtId="0" fontId="1" fillId="0" borderId="0" xfId="0" applyFont="1" applyAlignment="1">
      <alignment wrapText="1"/>
    </xf>
    <xf numFmtId="1" fontId="0" fillId="0" borderId="0" xfId="0" applyNumberFormat="1" applyFont="1" applyBorder="1"/>
    <xf numFmtId="166" fontId="0" fillId="0" borderId="3" xfId="0" applyNumberFormat="1" applyBorder="1"/>
    <xf numFmtId="166" fontId="0" fillId="0" borderId="2" xfId="0" applyNumberFormat="1" applyBorder="1"/>
    <xf numFmtId="166" fontId="0" fillId="0" borderId="1" xfId="0" applyNumberFormat="1" applyBorder="1"/>
    <xf numFmtId="166" fontId="0" fillId="0" borderId="0" xfId="0" applyNumberFormat="1" applyBorder="1"/>
    <xf numFmtId="0" fontId="0" fillId="0" borderId="4" xfId="0" applyBorder="1"/>
    <xf numFmtId="0" fontId="0" fillId="0" borderId="5" xfId="0" applyBorder="1"/>
    <xf numFmtId="165" fontId="0" fillId="0" borderId="5" xfId="0" applyNumberFormat="1" applyBorder="1"/>
    <xf numFmtId="164" fontId="0" fillId="0" borderId="6" xfId="0" applyNumberFormat="1" applyBorder="1"/>
    <xf numFmtId="0" fontId="0" fillId="0" borderId="7" xfId="0" applyBorder="1"/>
    <xf numFmtId="3" fontId="0" fillId="0" borderId="1" xfId="0" applyNumberFormat="1" applyBorder="1"/>
    <xf numFmtId="3" fontId="0" fillId="0" borderId="8" xfId="0" applyNumberFormat="1" applyBorder="1"/>
    <xf numFmtId="3" fontId="0" fillId="0" borderId="0" xfId="0" applyNumberFormat="1" applyFont="1"/>
    <xf numFmtId="3" fontId="0" fillId="0" borderId="0" xfId="0" applyNumberFormat="1" applyFont="1" applyBorder="1"/>
    <xf numFmtId="0" fontId="0" fillId="0" borderId="0" xfId="0" applyAlignment="1">
      <alignment horizontal="center"/>
    </xf>
    <xf numFmtId="9" fontId="0" fillId="0" borderId="0" xfId="2" applyFont="1"/>
    <xf numFmtId="0" fontId="0" fillId="0" borderId="0" xfId="0" applyFill="1"/>
    <xf numFmtId="3" fontId="0" fillId="0" borderId="0" xfId="0" applyNumberFormat="1" applyFill="1"/>
    <xf numFmtId="0" fontId="0" fillId="0" borderId="0" xfId="0" applyFill="1" applyBorder="1"/>
    <xf numFmtId="165" fontId="0" fillId="0" borderId="0" xfId="0" applyNumberFormat="1" applyFill="1" applyBorder="1"/>
    <xf numFmtId="166" fontId="0" fillId="0" borderId="0" xfId="0" applyNumberFormat="1" applyFill="1" applyBorder="1"/>
    <xf numFmtId="3" fontId="0" fillId="0" borderId="0" xfId="0" applyNumberFormat="1" applyFont="1" applyFill="1" applyBorder="1"/>
    <xf numFmtId="164" fontId="0" fillId="0" borderId="0" xfId="0" applyNumberFormat="1" applyFill="1" applyBorder="1"/>
    <xf numFmtId="0" fontId="0" fillId="0" borderId="1" xfId="0" applyFill="1" applyBorder="1"/>
    <xf numFmtId="165" fontId="0" fillId="0" borderId="1" xfId="0" applyNumberFormat="1" applyFill="1" applyBorder="1"/>
    <xf numFmtId="166" fontId="0" fillId="0" borderId="1" xfId="0" applyNumberFormat="1" applyFill="1" applyBorder="1"/>
    <xf numFmtId="164" fontId="0" fillId="0" borderId="1" xfId="0" applyNumberFormat="1" applyFill="1" applyBorder="1"/>
    <xf numFmtId="0" fontId="0" fillId="0" borderId="3" xfId="0" applyFill="1" applyBorder="1"/>
    <xf numFmtId="0" fontId="1" fillId="0" borderId="3" xfId="0" applyFont="1" applyFill="1" applyBorder="1"/>
    <xf numFmtId="44" fontId="0" fillId="0" borderId="3" xfId="0" applyNumberFormat="1" applyFont="1" applyFill="1" applyBorder="1"/>
    <xf numFmtId="164" fontId="0" fillId="0" borderId="3" xfId="0" applyNumberFormat="1" applyFont="1" applyFill="1" applyBorder="1"/>
    <xf numFmtId="164" fontId="0" fillId="0" borderId="0" xfId="0" applyNumberFormat="1" applyFont="1" applyFill="1" applyBorder="1"/>
    <xf numFmtId="3" fontId="0" fillId="0" borderId="0" xfId="0" applyNumberFormat="1" applyFont="1" applyFill="1"/>
    <xf numFmtId="164" fontId="0" fillId="0" borderId="3" xfId="0" applyNumberFormat="1" applyFill="1" applyBorder="1"/>
    <xf numFmtId="0" fontId="0" fillId="0" borderId="0" xfId="0" applyAlignment="1"/>
    <xf numFmtId="1" fontId="0" fillId="0" borderId="0" xfId="0" applyNumberFormat="1"/>
    <xf numFmtId="44" fontId="0" fillId="0" borderId="0" xfId="1" applyFont="1"/>
    <xf numFmtId="164" fontId="0" fillId="0" borderId="0" xfId="1" applyNumberFormat="1" applyFont="1"/>
    <xf numFmtId="164" fontId="0" fillId="0" borderId="0" xfId="0" applyNumberFormat="1" applyFill="1"/>
    <xf numFmtId="164" fontId="1" fillId="0" borderId="0" xfId="0" applyNumberFormat="1" applyFont="1"/>
    <xf numFmtId="0" fontId="1" fillId="0" borderId="9" xfId="0" applyFont="1" applyBorder="1"/>
    <xf numFmtId="0" fontId="1" fillId="0" borderId="10" xfId="0" applyFont="1" applyBorder="1"/>
    <xf numFmtId="164" fontId="1" fillId="0" borderId="11" xfId="0" applyNumberFormat="1" applyFont="1" applyBorder="1"/>
    <xf numFmtId="37" fontId="0" fillId="0" borderId="3" xfId="0" applyNumberFormat="1" applyBorder="1"/>
    <xf numFmtId="37" fontId="0" fillId="0" borderId="0" xfId="0" applyNumberFormat="1" applyBorder="1"/>
    <xf numFmtId="37" fontId="0" fillId="0" borderId="1" xfId="0" applyNumberFormat="1" applyBorder="1"/>
    <xf numFmtId="37" fontId="1" fillId="0" borderId="0" xfId="0" applyNumberFormat="1" applyFont="1"/>
    <xf numFmtId="164" fontId="1" fillId="0" borderId="3" xfId="0" applyNumberFormat="1" applyFont="1" applyBorder="1"/>
    <xf numFmtId="164" fontId="1" fillId="0" borderId="0" xfId="0" applyNumberFormat="1" applyFont="1" applyBorder="1"/>
    <xf numFmtId="164" fontId="1" fillId="0" borderId="1" xfId="0" applyNumberFormat="1" applyFont="1" applyBorder="1"/>
    <xf numFmtId="164" fontId="1" fillId="0" borderId="2" xfId="0" applyNumberFormat="1" applyFont="1" applyBorder="1"/>
    <xf numFmtId="37" fontId="1" fillId="0" borderId="3" xfId="0" applyNumberFormat="1" applyFont="1" applyBorder="1"/>
    <xf numFmtId="37" fontId="1" fillId="0" borderId="0" xfId="0" applyNumberFormat="1" applyFont="1" applyBorder="1"/>
    <xf numFmtId="37" fontId="1" fillId="0" borderId="1" xfId="0" applyNumberFormat="1" applyFont="1" applyBorder="1"/>
    <xf numFmtId="37" fontId="0" fillId="0" borderId="2" xfId="0" applyNumberFormat="1" applyBorder="1"/>
    <xf numFmtId="37" fontId="1" fillId="0" borderId="2" xfId="0" applyNumberFormat="1" applyFont="1" applyBorder="1"/>
    <xf numFmtId="166" fontId="0" fillId="0" borderId="0" xfId="0" applyNumberFormat="1" applyFill="1"/>
    <xf numFmtId="165" fontId="0" fillId="0" borderId="0" xfId="0" applyNumberFormat="1" applyFill="1"/>
    <xf numFmtId="166" fontId="0" fillId="0" borderId="3" xfId="0" applyNumberFormat="1" applyFill="1" applyBorder="1"/>
    <xf numFmtId="165" fontId="0" fillId="0" borderId="3" xfId="0" applyNumberFormat="1" applyFill="1" applyBorder="1"/>
    <xf numFmtId="164" fontId="0" fillId="0" borderId="0" xfId="0" applyNumberFormat="1" applyAlignment="1">
      <alignment horizontal="center"/>
    </xf>
    <xf numFmtId="44" fontId="0" fillId="0" borderId="0" xfId="0" applyNumberFormat="1"/>
    <xf numFmtId="0" fontId="1" fillId="0" borderId="0" xfId="0" applyFont="1" applyFill="1"/>
    <xf numFmtId="0" fontId="1" fillId="0" borderId="0" xfId="0" applyFont="1" applyAlignment="1"/>
    <xf numFmtId="0" fontId="1" fillId="0" borderId="0" xfId="0" applyFont="1" applyFill="1" applyAlignment="1">
      <alignment wrapText="1"/>
    </xf>
    <xf numFmtId="3" fontId="0" fillId="0" borderId="0" xfId="0" applyNumberForma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8" fontId="0" fillId="0" borderId="0" xfId="1" applyNumberFormat="1" applyFont="1"/>
    <xf numFmtId="168" fontId="0" fillId="0" borderId="3" xfId="1" applyNumberFormat="1" applyFont="1" applyBorder="1"/>
    <xf numFmtId="165" fontId="1" fillId="0" borderId="0" xfId="0" applyNumberFormat="1" applyFont="1"/>
    <xf numFmtId="9" fontId="1" fillId="0" borderId="0" xfId="2" applyFont="1"/>
    <xf numFmtId="0" fontId="1" fillId="0" borderId="0" xfId="0" applyFont="1" applyBorder="1"/>
    <xf numFmtId="0" fontId="1" fillId="0" borderId="12" xfId="0" applyFont="1" applyBorder="1"/>
    <xf numFmtId="44" fontId="1" fillId="0" borderId="12" xfId="0" applyNumberFormat="1" applyFont="1" applyBorder="1"/>
    <xf numFmtId="0" fontId="0" fillId="0" borderId="12" xfId="0" applyBorder="1"/>
    <xf numFmtId="164" fontId="0" fillId="0" borderId="12" xfId="0" applyNumberFormat="1" applyBorder="1"/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164" fontId="0" fillId="0" borderId="12" xfId="0" applyNumberFormat="1" applyBorder="1" applyAlignment="1">
      <alignment wrapText="1"/>
    </xf>
    <xf numFmtId="44" fontId="0" fillId="0" borderId="12" xfId="0" applyNumberFormat="1" applyBorder="1" applyAlignment="1">
      <alignment wrapText="1"/>
    </xf>
    <xf numFmtId="44" fontId="0" fillId="0" borderId="12" xfId="0" applyNumberFormat="1" applyBorder="1"/>
    <xf numFmtId="0" fontId="1" fillId="0" borderId="12" xfId="0" applyFont="1" applyFill="1" applyBorder="1" applyAlignment="1">
      <alignment wrapText="1"/>
    </xf>
    <xf numFmtId="3" fontId="0" fillId="0" borderId="12" xfId="0" applyNumberFormat="1" applyBorder="1"/>
    <xf numFmtId="44" fontId="0" fillId="0" borderId="12" xfId="1" applyFont="1" applyBorder="1"/>
    <xf numFmtId="164" fontId="0" fillId="0" borderId="12" xfId="1" applyNumberFormat="1" applyFont="1" applyBorder="1"/>
    <xf numFmtId="1" fontId="0" fillId="0" borderId="12" xfId="0" applyNumberFormat="1" applyBorder="1"/>
    <xf numFmtId="0" fontId="0" fillId="0" borderId="12" xfId="0" applyBorder="1" applyAlignment="1">
      <alignment horizontal="left" vertical="center" wrapText="1"/>
    </xf>
    <xf numFmtId="2" fontId="0" fillId="0" borderId="12" xfId="0" applyNumberFormat="1" applyBorder="1"/>
    <xf numFmtId="0" fontId="0" fillId="0" borderId="12" xfId="0" applyBorder="1" applyAlignment="1">
      <alignment horizontal="left" wrapText="1"/>
    </xf>
    <xf numFmtId="44" fontId="0" fillId="0" borderId="12" xfId="0" applyNumberFormat="1" applyFill="1" applyBorder="1"/>
    <xf numFmtId="44" fontId="1" fillId="0" borderId="12" xfId="0" applyNumberFormat="1" applyFont="1" applyBorder="1" applyAlignment="1">
      <alignment wrapText="1"/>
    </xf>
    <xf numFmtId="1" fontId="1" fillId="0" borderId="12" xfId="0" applyNumberFormat="1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44" fontId="1" fillId="0" borderId="12" xfId="1" applyFont="1" applyBorder="1" applyAlignment="1">
      <alignment wrapText="1"/>
    </xf>
    <xf numFmtId="164" fontId="1" fillId="0" borderId="12" xfId="1" applyNumberFormat="1" applyFont="1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2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457199</xdr:colOff>
      <xdr:row>35</xdr:row>
      <xdr:rowOff>19050</xdr:rowOff>
    </xdr:from>
    <xdr:to>
      <xdr:col>9</xdr:col>
      <xdr:colOff>476249</xdr:colOff>
      <xdr:row>37</xdr:row>
      <xdr:rowOff>113157</xdr:rowOff>
    </xdr:to>
    <xdr:sp macro="" textlink="">
      <xdr:nvSpPr>
        <xdr:cNvPr id="8" name="Left-Right Arrow 7"/>
        <xdr:cNvSpPr/>
      </xdr:nvSpPr>
      <xdr:spPr>
        <a:xfrm>
          <a:off x="5543549" y="7277100"/>
          <a:ext cx="1971675" cy="48463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SALES</a:t>
          </a:r>
          <a:r>
            <a:rPr lang="en-US" sz="1100" baseline="0"/>
            <a:t> VOLUME </a:t>
          </a:r>
          <a:r>
            <a:rPr lang="en-US" sz="1100"/>
            <a:t>VARIANCE</a:t>
          </a:r>
        </a:p>
      </xdr:txBody>
    </xdr:sp>
    <xdr:clientData/>
  </xdr:twoCellAnchor>
  <xdr:twoCellAnchor>
    <xdr:from>
      <xdr:col>3</xdr:col>
      <xdr:colOff>428624</xdr:colOff>
      <xdr:row>35</xdr:row>
      <xdr:rowOff>38100</xdr:rowOff>
    </xdr:from>
    <xdr:to>
      <xdr:col>6</xdr:col>
      <xdr:colOff>447674</xdr:colOff>
      <xdr:row>37</xdr:row>
      <xdr:rowOff>132207</xdr:rowOff>
    </xdr:to>
    <xdr:sp macro="" textlink="">
      <xdr:nvSpPr>
        <xdr:cNvPr id="9" name="Left-Right Arrow 8"/>
        <xdr:cNvSpPr/>
      </xdr:nvSpPr>
      <xdr:spPr>
        <a:xfrm>
          <a:off x="3562349" y="7296150"/>
          <a:ext cx="1971675" cy="48463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FLEX BUDGET VARIANCE</a:t>
          </a:r>
        </a:p>
      </xdr:txBody>
    </xdr:sp>
    <xdr:clientData/>
  </xdr:twoCellAnchor>
  <xdr:twoCellAnchor>
    <xdr:from>
      <xdr:col>3</xdr:col>
      <xdr:colOff>419100</xdr:colOff>
      <xdr:row>37</xdr:row>
      <xdr:rowOff>180975</xdr:rowOff>
    </xdr:from>
    <xdr:to>
      <xdr:col>9</xdr:col>
      <xdr:colOff>485775</xdr:colOff>
      <xdr:row>40</xdr:row>
      <xdr:rowOff>94107</xdr:rowOff>
    </xdr:to>
    <xdr:sp macro="" textlink="">
      <xdr:nvSpPr>
        <xdr:cNvPr id="10" name="Left-Right Arrow 9"/>
        <xdr:cNvSpPr/>
      </xdr:nvSpPr>
      <xdr:spPr>
        <a:xfrm>
          <a:off x="3552825" y="7829550"/>
          <a:ext cx="3971925" cy="48463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STATIC BUDGET VARIANCE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eben" refreshedDate="41710.886362731479" createdVersion="4" refreshedVersion="4" minRefreshableVersion="3" recordCount="34">
  <cacheSource type="worksheet">
    <worksheetSource ref="B3:H25" sheet="Ex3 DtL3 - PRICE AND EFFICIENCY"/>
  </cacheSource>
  <cacheFields count="7">
    <cacheField name="Material" numFmtId="0">
      <sharedItems containsBlank="1" count="3">
        <s v="PLASTIC"/>
        <s v="METAL"/>
        <m/>
      </sharedItems>
    </cacheField>
    <cacheField name="Cost Type" numFmtId="0">
      <sharedItems containsBlank="1" count="6">
        <s v="DM"/>
        <s v="DL"/>
        <m/>
        <s v="Var OH"/>
        <s v="Fixed OH"/>
        <s v="INV"/>
      </sharedItems>
    </cacheField>
    <cacheField name="Cost Category" numFmtId="0">
      <sharedItems containsBlank="1" count="10">
        <s v="PRICE"/>
        <m/>
        <s v="INVENTORY"/>
        <s v="EFFICIENCY"/>
        <s v="SPENDING"/>
        <s v="INV"/>
        <s v="BUDGET" u="1"/>
        <s v="VOLUME" u="1"/>
        <s v="PRICE/RATE" u="1"/>
        <s v="F OH TO BUDGET" u="1"/>
      </sharedItems>
    </cacheField>
    <cacheField name="Responsibility" numFmtId="0">
      <sharedItems containsBlank="1"/>
    </cacheField>
    <cacheField name="Item" numFmtId="0">
      <sharedItems containsBlank="1"/>
    </cacheField>
    <cacheField name="Included in Variance" numFmtId="0">
      <sharedItems containsBlank="1" count="3">
        <s v="Y"/>
        <m/>
        <s v="N"/>
      </sharedItems>
    </cacheField>
    <cacheField name="Variance" numFmtId="44">
      <sharedItems containsMixedTypes="1" containsNumber="1" minValue="-39000.000000000022" maxValue="42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">
  <r>
    <x v="0"/>
    <x v="0"/>
    <x v="0"/>
    <s v="Purchasing"/>
    <s v="Raw Materials - Plastic"/>
    <x v="0"/>
    <n v="-39000.000000000022"/>
  </r>
  <r>
    <x v="1"/>
    <x v="0"/>
    <x v="0"/>
    <s v="Purchasing"/>
    <s v="Raw Materials - Metal"/>
    <x v="0"/>
    <n v="0"/>
  </r>
  <r>
    <x v="0"/>
    <x v="1"/>
    <x v="0"/>
    <s v="Production Scheduling"/>
    <s v="DL - Price - Plastic"/>
    <x v="0"/>
    <n v="0"/>
  </r>
  <r>
    <x v="1"/>
    <x v="1"/>
    <x v="0"/>
    <s v="Production Scheduling"/>
    <s v="DL - Price - Metal"/>
    <x v="0"/>
    <n v="0"/>
  </r>
  <r>
    <x v="2"/>
    <x v="2"/>
    <x v="1"/>
    <m/>
    <m/>
    <x v="1"/>
    <n v="0"/>
  </r>
  <r>
    <x v="2"/>
    <x v="2"/>
    <x v="1"/>
    <m/>
    <s v="STOCK VARIANCE (NOT IN THE BOOK!!!)"/>
    <x v="1"/>
    <n v="0"/>
  </r>
  <r>
    <x v="2"/>
    <x v="2"/>
    <x v="1"/>
    <m/>
    <m/>
    <x v="2"/>
    <s v="Cost of new Inventory"/>
  </r>
  <r>
    <x v="0"/>
    <x v="0"/>
    <x v="2"/>
    <s v="Management"/>
    <s v="Raw Materials - Plastic"/>
    <x v="2"/>
    <n v="20000"/>
  </r>
  <r>
    <x v="1"/>
    <x v="0"/>
    <x v="2"/>
    <s v="Management"/>
    <s v="Raw Materials - Metal"/>
    <x v="2"/>
    <n v="42000"/>
  </r>
  <r>
    <x v="2"/>
    <x v="2"/>
    <x v="1"/>
    <m/>
    <m/>
    <x v="1"/>
    <n v="0"/>
  </r>
  <r>
    <x v="2"/>
    <x v="2"/>
    <x v="1"/>
    <m/>
    <m/>
    <x v="1"/>
    <n v="0"/>
  </r>
  <r>
    <x v="2"/>
    <x v="2"/>
    <x v="1"/>
    <m/>
    <s v="EFFICIENCY VARIANCES"/>
    <x v="1"/>
    <n v="0"/>
  </r>
  <r>
    <x v="2"/>
    <x v="2"/>
    <x v="1"/>
    <m/>
    <m/>
    <x v="1"/>
    <s v="Efficiency Variance"/>
  </r>
  <r>
    <x v="0"/>
    <x v="0"/>
    <x v="3"/>
    <s v="Manufacturing"/>
    <s v="Raw Materials - Plastic"/>
    <x v="0"/>
    <n v="-5000"/>
  </r>
  <r>
    <x v="1"/>
    <x v="0"/>
    <x v="3"/>
    <s v="Manufacturing"/>
    <s v="Raw Materials - Metal"/>
    <x v="0"/>
    <n v="-3000"/>
  </r>
  <r>
    <x v="0"/>
    <x v="1"/>
    <x v="3"/>
    <s v="HR (Selecting Staff)"/>
    <s v="DL - Plastic"/>
    <x v="0"/>
    <n v="-800.00000000000364"/>
  </r>
  <r>
    <x v="1"/>
    <x v="1"/>
    <x v="3"/>
    <s v="HR (Selecting Staff)"/>
    <s v="DL Metal"/>
    <x v="0"/>
    <n v="200"/>
  </r>
  <r>
    <x v="0"/>
    <x v="3"/>
    <x v="3"/>
    <m/>
    <s v="Variable MFG OH - Plastic"/>
    <x v="0"/>
    <n v="-1600.0000000000073"/>
  </r>
  <r>
    <x v="1"/>
    <x v="3"/>
    <x v="3"/>
    <m/>
    <s v="Variable MFG OH - Metal"/>
    <x v="0"/>
    <n v="200"/>
  </r>
  <r>
    <x v="2"/>
    <x v="2"/>
    <x v="1"/>
    <m/>
    <m/>
    <x v="0"/>
    <n v="0"/>
  </r>
  <r>
    <x v="2"/>
    <x v="2"/>
    <x v="1"/>
    <m/>
    <s v="Variable OH Spending Variance"/>
    <x v="0"/>
    <n v="0"/>
  </r>
  <r>
    <x v="2"/>
    <x v="2"/>
    <x v="1"/>
    <m/>
    <m/>
    <x v="0"/>
    <s v="Spending Variance"/>
  </r>
  <r>
    <x v="0"/>
    <x v="3"/>
    <x v="4"/>
    <s v="Manufacturing"/>
    <s v="Plastic"/>
    <x v="0"/>
    <n v="-399.99999999999966"/>
  </r>
  <r>
    <x v="1"/>
    <x v="3"/>
    <x v="4"/>
    <s v="Manufacturing"/>
    <s v="Metal"/>
    <x v="0"/>
    <n v="-200.00000000000426"/>
  </r>
  <r>
    <x v="2"/>
    <x v="2"/>
    <x v="1"/>
    <m/>
    <m/>
    <x v="0"/>
    <n v="0"/>
  </r>
  <r>
    <x v="2"/>
    <x v="2"/>
    <x v="1"/>
    <m/>
    <m/>
    <x v="0"/>
    <n v="0"/>
  </r>
  <r>
    <x v="2"/>
    <x v="2"/>
    <x v="1"/>
    <m/>
    <m/>
    <x v="0"/>
    <s v="Variance"/>
  </r>
  <r>
    <x v="0"/>
    <x v="4"/>
    <x v="4"/>
    <m/>
    <m/>
    <x v="0"/>
    <n v="-600"/>
  </r>
  <r>
    <x v="1"/>
    <x v="4"/>
    <x v="4"/>
    <m/>
    <m/>
    <x v="0"/>
    <n v="-600"/>
  </r>
  <r>
    <x v="2"/>
    <x v="2"/>
    <x v="1"/>
    <m/>
    <m/>
    <x v="0"/>
    <n v="0"/>
  </r>
  <r>
    <x v="2"/>
    <x v="2"/>
    <x v="1"/>
    <m/>
    <m/>
    <x v="0"/>
    <n v="0"/>
  </r>
  <r>
    <x v="2"/>
    <x v="2"/>
    <x v="1"/>
    <m/>
    <m/>
    <x v="0"/>
    <s v="Var"/>
  </r>
  <r>
    <x v="0"/>
    <x v="5"/>
    <x v="5"/>
    <m/>
    <m/>
    <x v="0"/>
    <n v="40000"/>
  </r>
  <r>
    <x v="1"/>
    <x v="5"/>
    <x v="5"/>
    <m/>
    <m/>
    <x v="0"/>
    <n v="-25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3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B3:G14" firstHeaderRow="1" firstDataRow="2" firstDataCol="1" rowPageCount="1" colPageCount="1"/>
  <pivotFields count="7">
    <pivotField axis="axisRow" showAll="0">
      <items count="4">
        <item x="1"/>
        <item x="0"/>
        <item x="2"/>
        <item t="default"/>
      </items>
    </pivotField>
    <pivotField axis="axisCol" showAll="0">
      <items count="7">
        <item x="1"/>
        <item x="0"/>
        <item x="4"/>
        <item x="3"/>
        <item h="1" x="2"/>
        <item h="1" x="5"/>
        <item t="default"/>
      </items>
    </pivotField>
    <pivotField axis="axisRow" showAll="0">
      <items count="11">
        <item m="1" x="6"/>
        <item x="3"/>
        <item x="2"/>
        <item m="1" x="8"/>
        <item m="1" x="7"/>
        <item x="1"/>
        <item m="1" x="9"/>
        <item x="5"/>
        <item x="4"/>
        <item x="0"/>
        <item t="default"/>
      </items>
    </pivotField>
    <pivotField showAll="0"/>
    <pivotField showAll="0"/>
    <pivotField axis="axisPage" multipleItemSelectionAllowed="1" showAll="0" defaultSubtotal="0">
      <items count="3">
        <item h="1" x="2"/>
        <item x="0"/>
        <item h="1" x="1"/>
      </items>
    </pivotField>
    <pivotField dataField="1" showAll="0"/>
  </pivotFields>
  <rowFields count="2">
    <field x="2"/>
    <field x="0"/>
  </rowFields>
  <rowItems count="10">
    <i>
      <x v="1"/>
    </i>
    <i r="1">
      <x/>
    </i>
    <i r="1">
      <x v="1"/>
    </i>
    <i>
      <x v="8"/>
    </i>
    <i r="1">
      <x/>
    </i>
    <i r="1">
      <x v="1"/>
    </i>
    <i>
      <x v="9"/>
    </i>
    <i r="1">
      <x/>
    </i>
    <i r="1">
      <x v="1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ageFields count="1">
    <pageField fld="5" hier="-1"/>
  </pageFields>
  <dataFields count="1">
    <dataField name="Sum of Variance" fld="6" baseField="1" baseItem="64" numFmtId="164"/>
  </dataFields>
  <formats count="1">
    <format dxfId="2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5"/>
  <sheetViews>
    <sheetView tabSelected="1" topLeftCell="A4" workbookViewId="0">
      <selection activeCell="O30" sqref="O30"/>
    </sheetView>
  </sheetViews>
  <sheetFormatPr defaultRowHeight="15" x14ac:dyDescent="0.25"/>
  <cols>
    <col min="1" max="1" width="9.5703125" bestFit="1" customWidth="1"/>
    <col min="2" max="2" width="7.5703125" bestFit="1" customWidth="1"/>
    <col min="3" max="3" width="4.7109375" customWidth="1"/>
    <col min="4" max="4" width="32" customWidth="1"/>
    <col min="5" max="5" width="14.42578125" bestFit="1" customWidth="1"/>
    <col min="6" max="6" width="12.5703125" bestFit="1" customWidth="1"/>
    <col min="7" max="8" width="14.140625" hidden="1" customWidth="1"/>
    <col min="9" max="9" width="9" customWidth="1"/>
    <col min="10" max="10" width="9.5703125" bestFit="1" customWidth="1"/>
    <col min="11" max="11" width="7.5703125" bestFit="1" customWidth="1"/>
    <col min="12" max="12" width="4.7109375" customWidth="1"/>
    <col min="13" max="13" width="30.42578125" customWidth="1"/>
    <col min="14" max="14" width="14.42578125" bestFit="1" customWidth="1"/>
    <col min="15" max="15" width="16.42578125" bestFit="1" customWidth="1"/>
    <col min="16" max="16" width="12.5703125" hidden="1" customWidth="1"/>
    <col min="17" max="17" width="0" hidden="1" customWidth="1"/>
  </cols>
  <sheetData>
    <row r="2" spans="1:20" x14ac:dyDescent="0.25">
      <c r="C2" s="94" t="s">
        <v>24</v>
      </c>
      <c r="F2" s="13"/>
      <c r="G2" s="4"/>
      <c r="H2" s="4"/>
      <c r="I2" s="4"/>
      <c r="K2" s="13"/>
      <c r="L2" s="94" t="s">
        <v>26</v>
      </c>
    </row>
    <row r="3" spans="1:20" x14ac:dyDescent="0.25">
      <c r="C3" s="26"/>
      <c r="D3" s="27"/>
      <c r="E3" s="28" t="s">
        <v>33</v>
      </c>
      <c r="F3" s="27" t="s">
        <v>39</v>
      </c>
      <c r="G3" s="29" t="s">
        <v>40</v>
      </c>
      <c r="H3" s="6"/>
      <c r="I3" s="6"/>
      <c r="K3" s="13"/>
      <c r="L3" s="26"/>
      <c r="M3" s="27"/>
      <c r="N3" s="28" t="s">
        <v>33</v>
      </c>
      <c r="O3" s="27" t="s">
        <v>39</v>
      </c>
      <c r="P3" s="29" t="s">
        <v>40</v>
      </c>
    </row>
    <row r="4" spans="1:20" x14ac:dyDescent="0.25">
      <c r="C4" s="30" t="s">
        <v>27</v>
      </c>
      <c r="D4" s="2"/>
      <c r="E4" s="31">
        <v>50000</v>
      </c>
      <c r="F4" s="31">
        <v>60000</v>
      </c>
      <c r="G4" s="32">
        <v>55000</v>
      </c>
      <c r="H4" s="86"/>
      <c r="I4" s="86"/>
      <c r="L4" s="30" t="s">
        <v>27</v>
      </c>
      <c r="M4" s="2"/>
      <c r="N4" s="31">
        <v>25000</v>
      </c>
      <c r="O4" s="31">
        <v>20000</v>
      </c>
      <c r="P4" s="32">
        <v>22500</v>
      </c>
    </row>
    <row r="5" spans="1:20" x14ac:dyDescent="0.25">
      <c r="A5" s="84" t="s">
        <v>34</v>
      </c>
      <c r="B5" s="84" t="s">
        <v>128</v>
      </c>
      <c r="J5" s="84" t="s">
        <v>34</v>
      </c>
      <c r="K5" s="84" t="s">
        <v>128</v>
      </c>
    </row>
    <row r="6" spans="1:20" s="5" customFormat="1" x14ac:dyDescent="0.25">
      <c r="A6" s="55"/>
      <c r="B6" s="55"/>
      <c r="E6" s="5" t="s">
        <v>22</v>
      </c>
      <c r="F6" s="20" t="s">
        <v>41</v>
      </c>
      <c r="G6" s="20" t="s">
        <v>3</v>
      </c>
      <c r="H6" s="20"/>
      <c r="I6" s="20"/>
      <c r="N6" s="5" t="s">
        <v>22</v>
      </c>
      <c r="O6" s="20" t="s">
        <v>41</v>
      </c>
      <c r="P6" s="20" t="s">
        <v>3</v>
      </c>
      <c r="S6"/>
      <c r="T6"/>
    </row>
    <row r="7" spans="1:20" s="37" customFormat="1" x14ac:dyDescent="0.25">
      <c r="A7" s="37" t="s">
        <v>42</v>
      </c>
      <c r="B7" s="38">
        <v>60000</v>
      </c>
      <c r="C7" s="48" t="s">
        <v>23</v>
      </c>
      <c r="D7" s="49"/>
      <c r="E7" s="50">
        <f>500000/50000</f>
        <v>10</v>
      </c>
      <c r="F7" s="51">
        <f>E7*B7</f>
        <v>600000</v>
      </c>
      <c r="G7" s="51">
        <v>630000</v>
      </c>
      <c r="H7" s="52"/>
      <c r="I7" s="52"/>
      <c r="J7" s="37" t="s">
        <v>42</v>
      </c>
      <c r="K7" s="53">
        <v>20000</v>
      </c>
      <c r="L7" s="48" t="s">
        <v>23</v>
      </c>
      <c r="M7" s="49"/>
      <c r="N7" s="51">
        <f>375000/25000</f>
        <v>15</v>
      </c>
      <c r="O7" s="51">
        <v>300000</v>
      </c>
      <c r="P7" s="51">
        <v>300000</v>
      </c>
    </row>
    <row r="8" spans="1:20" x14ac:dyDescent="0.25">
      <c r="B8" s="18"/>
      <c r="K8" s="33"/>
      <c r="P8" s="4"/>
    </row>
    <row r="9" spans="1:20" x14ac:dyDescent="0.25">
      <c r="B9" s="18"/>
      <c r="C9" t="s">
        <v>28</v>
      </c>
      <c r="E9" s="13"/>
      <c r="F9" s="14"/>
      <c r="G9" s="14"/>
      <c r="H9" s="14"/>
      <c r="I9" s="14"/>
      <c r="K9" s="34"/>
      <c r="L9" t="s">
        <v>28</v>
      </c>
      <c r="N9" s="13"/>
      <c r="O9" s="14"/>
      <c r="P9" s="4"/>
    </row>
    <row r="10" spans="1:20" x14ac:dyDescent="0.25">
      <c r="A10" t="s">
        <v>43</v>
      </c>
      <c r="B10" s="18">
        <v>55000</v>
      </c>
      <c r="D10" t="s">
        <v>35</v>
      </c>
      <c r="E10" s="13">
        <v>5</v>
      </c>
      <c r="F10" s="14">
        <f>E10*B10</f>
        <v>275000</v>
      </c>
      <c r="G10" s="14">
        <v>280000</v>
      </c>
      <c r="H10" s="14">
        <f>F10-G10</f>
        <v>-5000</v>
      </c>
      <c r="I10" s="14"/>
      <c r="J10" s="37" t="s">
        <v>43</v>
      </c>
      <c r="K10" s="42">
        <v>22500</v>
      </c>
      <c r="L10" s="37"/>
      <c r="M10" s="37" t="s">
        <v>35</v>
      </c>
      <c r="N10" s="78">
        <v>6</v>
      </c>
      <c r="O10" s="77">
        <f>K10*N10</f>
        <v>135000</v>
      </c>
      <c r="P10" s="59">
        <v>138000</v>
      </c>
      <c r="Q10" s="14">
        <f>O10-P10</f>
        <v>-3000</v>
      </c>
    </row>
    <row r="11" spans="1:20" x14ac:dyDescent="0.25">
      <c r="A11" t="s">
        <v>43</v>
      </c>
      <c r="B11" s="18">
        <v>55000</v>
      </c>
      <c r="D11" t="s">
        <v>36</v>
      </c>
      <c r="E11" s="13">
        <v>1</v>
      </c>
      <c r="F11" s="14">
        <f>E11*B11</f>
        <v>55000</v>
      </c>
      <c r="G11" s="14">
        <v>55800</v>
      </c>
      <c r="H11" s="14">
        <f>F11-G11</f>
        <v>-800</v>
      </c>
      <c r="I11" s="14"/>
      <c r="J11" s="37" t="s">
        <v>43</v>
      </c>
      <c r="K11" s="42">
        <v>22500</v>
      </c>
      <c r="L11" s="39"/>
      <c r="M11" s="39" t="s">
        <v>36</v>
      </c>
      <c r="N11" s="40">
        <v>2</v>
      </c>
      <c r="O11" s="41">
        <f>N11*K11</f>
        <v>45000</v>
      </c>
      <c r="P11" s="43">
        <v>44800</v>
      </c>
      <c r="Q11" s="14">
        <f>O11-P11</f>
        <v>200</v>
      </c>
    </row>
    <row r="12" spans="1:20" x14ac:dyDescent="0.25">
      <c r="A12" t="s">
        <v>43</v>
      </c>
      <c r="B12" s="18">
        <v>55000</v>
      </c>
      <c r="C12" s="2"/>
      <c r="D12" s="2" t="s">
        <v>37</v>
      </c>
      <c r="E12" s="15">
        <v>2</v>
      </c>
      <c r="F12" s="24">
        <f>E12*B12</f>
        <v>110000</v>
      </c>
      <c r="G12" s="24">
        <f>43000+50000+19000</f>
        <v>112000</v>
      </c>
      <c r="H12" s="14">
        <f>F12-G12</f>
        <v>-2000</v>
      </c>
      <c r="I12" s="14"/>
      <c r="J12" s="37" t="s">
        <v>43</v>
      </c>
      <c r="K12" s="42">
        <v>22500</v>
      </c>
      <c r="L12" s="44"/>
      <c r="M12" s="44" t="s">
        <v>37</v>
      </c>
      <c r="N12" s="45">
        <v>2</v>
      </c>
      <c r="O12" s="46">
        <f>N12*K12</f>
        <v>45000</v>
      </c>
      <c r="P12" s="47">
        <f>18000+15000+12000</f>
        <v>45000</v>
      </c>
      <c r="Q12" s="14">
        <f>O12-P12</f>
        <v>0</v>
      </c>
    </row>
    <row r="13" spans="1:20" x14ac:dyDescent="0.25">
      <c r="B13" s="18"/>
      <c r="C13" t="s">
        <v>38</v>
      </c>
      <c r="E13" s="13">
        <f>SUM(E10:E12)</f>
        <v>8</v>
      </c>
      <c r="F13" s="14">
        <f>SUM(F10:F12)</f>
        <v>440000</v>
      </c>
      <c r="G13" s="14">
        <f>SUM(G10:G12)</f>
        <v>447800</v>
      </c>
      <c r="H13" s="14">
        <f>F13-G13</f>
        <v>-7800</v>
      </c>
      <c r="I13" s="14"/>
      <c r="J13" s="37"/>
      <c r="K13" s="42"/>
      <c r="L13" s="37" t="s">
        <v>38</v>
      </c>
      <c r="M13" s="37"/>
      <c r="N13" s="78">
        <f>SUM(N10:N12)</f>
        <v>10</v>
      </c>
      <c r="O13" s="77">
        <f>SUM(O10:O12)</f>
        <v>225000</v>
      </c>
      <c r="P13" s="59">
        <f>SUM(P10:P12)</f>
        <v>227800</v>
      </c>
      <c r="Q13" s="14">
        <f>O13-P13</f>
        <v>-2800</v>
      </c>
    </row>
    <row r="14" spans="1:20" x14ac:dyDescent="0.25">
      <c r="B14" s="18"/>
      <c r="C14" t="s">
        <v>29</v>
      </c>
      <c r="E14" s="13"/>
      <c r="F14" s="14"/>
      <c r="G14" s="14"/>
      <c r="H14" s="14"/>
      <c r="I14" s="14"/>
      <c r="J14" s="37"/>
      <c r="K14" s="42"/>
      <c r="L14" s="37" t="s">
        <v>29</v>
      </c>
      <c r="M14" s="37"/>
      <c r="N14" s="78"/>
      <c r="O14" s="77"/>
      <c r="P14" s="59"/>
    </row>
    <row r="15" spans="1:20" s="37" customFormat="1" x14ac:dyDescent="0.25">
      <c r="A15" s="37" t="s">
        <v>93</v>
      </c>
      <c r="B15" s="38">
        <f>F7</f>
        <v>600000</v>
      </c>
      <c r="C15" s="39"/>
      <c r="D15" s="39" t="s">
        <v>61</v>
      </c>
      <c r="E15" s="40">
        <f>E7*0.05</f>
        <v>0.5</v>
      </c>
      <c r="F15" s="41">
        <f>0.05*F7</f>
        <v>30000</v>
      </c>
      <c r="G15" s="41">
        <f>46500*630/(630+300)</f>
        <v>31500</v>
      </c>
      <c r="H15" s="41"/>
      <c r="I15" s="41"/>
      <c r="J15" s="37" t="s">
        <v>93</v>
      </c>
      <c r="K15" s="38">
        <f>O7</f>
        <v>300000</v>
      </c>
      <c r="L15" s="39"/>
      <c r="M15" s="39" t="s">
        <v>61</v>
      </c>
      <c r="N15" s="40">
        <f>N7*0.05</f>
        <v>0.75</v>
      </c>
      <c r="O15" s="41">
        <f>0.05*O7</f>
        <v>15000</v>
      </c>
      <c r="P15" s="43">
        <f>46500*300/(300+630)</f>
        <v>15000</v>
      </c>
    </row>
    <row r="16" spans="1:20" s="37" customFormat="1" x14ac:dyDescent="0.25">
      <c r="A16" s="37" t="s">
        <v>93</v>
      </c>
      <c r="B16" s="38">
        <f>F7</f>
        <v>600000</v>
      </c>
      <c r="C16" s="44"/>
      <c r="D16" s="44" t="s">
        <v>142</v>
      </c>
      <c r="E16" s="45">
        <f>9300/930000*E7</f>
        <v>0.1</v>
      </c>
      <c r="F16" s="46">
        <f>E16*B16</f>
        <v>60000</v>
      </c>
      <c r="G16" s="46">
        <f>9300*G7/(G7+P7)</f>
        <v>6300</v>
      </c>
      <c r="H16" s="41"/>
      <c r="I16" s="41"/>
      <c r="J16" s="37" t="s">
        <v>93</v>
      </c>
      <c r="K16" s="38">
        <f>O7</f>
        <v>300000</v>
      </c>
      <c r="L16" s="44"/>
      <c r="M16" s="44" t="s">
        <v>142</v>
      </c>
      <c r="N16" s="45">
        <f>0.01*N7</f>
        <v>0.15</v>
      </c>
      <c r="O16" s="46">
        <f>N16*K16</f>
        <v>45000</v>
      </c>
      <c r="P16" s="47">
        <f>9300*P7/(P7+G7)</f>
        <v>3000</v>
      </c>
    </row>
    <row r="17" spans="1:16" x14ac:dyDescent="0.25">
      <c r="B17" s="18"/>
      <c r="C17" s="1" t="s">
        <v>30</v>
      </c>
      <c r="D17" s="1"/>
      <c r="E17" s="13">
        <f>SUM(E15:E16)</f>
        <v>0.6</v>
      </c>
      <c r="F17" s="14">
        <f>SUM(F15:F16)</f>
        <v>90000</v>
      </c>
      <c r="G17" s="14">
        <f>SUM(G15:G16)</f>
        <v>37800</v>
      </c>
      <c r="H17" s="14"/>
      <c r="I17" s="14"/>
      <c r="J17" s="37"/>
      <c r="K17" s="42"/>
      <c r="L17" s="39" t="s">
        <v>30</v>
      </c>
      <c r="M17" s="39"/>
      <c r="N17" s="78">
        <f>SUM(N15:N16)</f>
        <v>0.9</v>
      </c>
      <c r="O17" s="77">
        <f>SUM(O15:O16)</f>
        <v>60000</v>
      </c>
      <c r="P17" s="59">
        <f>SUM(P15:P16)</f>
        <v>18000</v>
      </c>
    </row>
    <row r="18" spans="1:16" x14ac:dyDescent="0.25">
      <c r="B18" s="18"/>
      <c r="C18" s="1"/>
      <c r="D18" s="1"/>
      <c r="E18" s="13"/>
      <c r="F18" s="14"/>
      <c r="G18" s="14"/>
      <c r="H18" s="14"/>
      <c r="I18" s="14"/>
      <c r="J18" s="37"/>
      <c r="K18" s="42"/>
      <c r="L18" s="39"/>
      <c r="M18" s="39"/>
      <c r="N18" s="78"/>
      <c r="O18" s="77"/>
      <c r="P18" s="59"/>
    </row>
    <row r="19" spans="1:16" x14ac:dyDescent="0.25">
      <c r="B19" s="18"/>
      <c r="C19" s="9" t="s">
        <v>11</v>
      </c>
      <c r="D19" s="9"/>
      <c r="E19" s="16">
        <f>E13+E17</f>
        <v>8.6</v>
      </c>
      <c r="F19" s="22">
        <f>F13+F17</f>
        <v>530000</v>
      </c>
      <c r="G19" s="22">
        <f>G13+G17</f>
        <v>485600</v>
      </c>
      <c r="H19" s="25"/>
      <c r="I19" s="25"/>
      <c r="J19" s="37"/>
      <c r="K19" s="42"/>
      <c r="L19" s="48" t="s">
        <v>11</v>
      </c>
      <c r="M19" s="48"/>
      <c r="N19" s="80">
        <f>N13+N17</f>
        <v>10.9</v>
      </c>
      <c r="O19" s="79">
        <f>O13+O17</f>
        <v>285000</v>
      </c>
      <c r="P19" s="54">
        <f>P13+P17</f>
        <v>245800</v>
      </c>
    </row>
    <row r="20" spans="1:16" x14ac:dyDescent="0.25">
      <c r="B20" s="18"/>
      <c r="E20" s="13"/>
      <c r="F20" s="14"/>
      <c r="G20" s="14"/>
      <c r="H20" s="14"/>
      <c r="I20" s="14"/>
      <c r="J20" s="37"/>
      <c r="K20" s="42"/>
      <c r="L20" s="37"/>
      <c r="M20" s="37"/>
      <c r="N20" s="78"/>
      <c r="O20" s="77"/>
      <c r="P20" s="59"/>
    </row>
    <row r="21" spans="1:16" x14ac:dyDescent="0.25">
      <c r="B21" s="18"/>
      <c r="C21" s="9" t="s">
        <v>12</v>
      </c>
      <c r="D21" s="9"/>
      <c r="E21" s="16">
        <f>E7-E19</f>
        <v>1.4000000000000004</v>
      </c>
      <c r="F21" s="22">
        <f>F7-F19</f>
        <v>70000</v>
      </c>
      <c r="G21" s="22">
        <f>G7-G19</f>
        <v>144400</v>
      </c>
      <c r="H21" s="25"/>
      <c r="I21" s="25"/>
      <c r="J21" s="37"/>
      <c r="K21" s="42"/>
      <c r="L21" s="48" t="s">
        <v>12</v>
      </c>
      <c r="M21" s="48"/>
      <c r="N21" s="80">
        <f>N7-N19</f>
        <v>4.0999999999999996</v>
      </c>
      <c r="O21" s="79">
        <f>O7-O19</f>
        <v>15000</v>
      </c>
      <c r="P21" s="54">
        <f>P7-P19</f>
        <v>54200</v>
      </c>
    </row>
    <row r="22" spans="1:16" x14ac:dyDescent="0.25">
      <c r="B22" s="18"/>
      <c r="E22" s="13"/>
      <c r="F22" s="14"/>
      <c r="G22" s="14"/>
      <c r="H22" s="14"/>
      <c r="I22" s="14"/>
      <c r="J22" s="37"/>
      <c r="K22" s="42"/>
      <c r="L22" s="37"/>
      <c r="M22" s="37"/>
      <c r="N22" s="78"/>
      <c r="O22" s="77"/>
      <c r="P22" s="59"/>
    </row>
    <row r="23" spans="1:16" x14ac:dyDescent="0.25">
      <c r="B23" s="18"/>
      <c r="C23" t="s">
        <v>13</v>
      </c>
      <c r="E23" s="13"/>
      <c r="F23" s="14"/>
      <c r="G23" s="14"/>
      <c r="H23" s="14"/>
      <c r="I23" s="14"/>
      <c r="J23" s="37"/>
      <c r="K23" s="53"/>
      <c r="L23" s="37" t="s">
        <v>13</v>
      </c>
      <c r="M23" s="37"/>
      <c r="N23" s="78"/>
      <c r="O23" s="77"/>
      <c r="P23" s="59"/>
    </row>
    <row r="24" spans="1:16" x14ac:dyDescent="0.25">
      <c r="A24" t="s">
        <v>43</v>
      </c>
      <c r="B24" s="18">
        <v>55000</v>
      </c>
      <c r="D24" t="s">
        <v>31</v>
      </c>
      <c r="E24" s="13">
        <f>(4500+4000+600)*3/E4</f>
        <v>0.54600000000000004</v>
      </c>
      <c r="F24" s="14">
        <f>E24*B24</f>
        <v>30030.000000000004</v>
      </c>
      <c r="G24" s="14">
        <f>14000+12000+1900</f>
        <v>27900</v>
      </c>
      <c r="H24" s="14"/>
      <c r="I24" s="14"/>
      <c r="J24" s="37" t="s">
        <v>43</v>
      </c>
      <c r="K24" s="53">
        <v>22500</v>
      </c>
      <c r="L24" s="37"/>
      <c r="M24" s="37" t="s">
        <v>32</v>
      </c>
      <c r="N24" s="78">
        <f>(3500+3000+400)*3/N4</f>
        <v>0.82799999999999996</v>
      </c>
      <c r="O24" s="77">
        <f>N24*K24</f>
        <v>18630</v>
      </c>
      <c r="P24" s="59">
        <f>11000+9000+1300</f>
        <v>21300</v>
      </c>
    </row>
    <row r="25" spans="1:16" x14ac:dyDescent="0.25">
      <c r="A25" t="s">
        <v>42</v>
      </c>
      <c r="B25" s="18">
        <v>60000</v>
      </c>
      <c r="C25" s="1"/>
      <c r="D25" s="1" t="s">
        <v>14</v>
      </c>
      <c r="E25" s="13">
        <f>36000/2/E4</f>
        <v>0.36</v>
      </c>
      <c r="F25" s="14">
        <f>E25*B25</f>
        <v>21600</v>
      </c>
      <c r="G25" s="14">
        <f>38500/2</f>
        <v>19250</v>
      </c>
      <c r="H25" s="14"/>
      <c r="I25" s="14"/>
      <c r="J25" s="37" t="s">
        <v>42</v>
      </c>
      <c r="K25" s="42">
        <v>20000</v>
      </c>
      <c r="L25" s="39"/>
      <c r="M25" s="39" t="s">
        <v>14</v>
      </c>
      <c r="N25" s="78">
        <f>36000/2/N4</f>
        <v>0.72</v>
      </c>
      <c r="O25" s="77">
        <f>N25*K25</f>
        <v>14400</v>
      </c>
      <c r="P25" s="77">
        <f>38500/2</f>
        <v>19250</v>
      </c>
    </row>
    <row r="26" spans="1:16" x14ac:dyDescent="0.25">
      <c r="A26" t="s">
        <v>42</v>
      </c>
      <c r="B26" s="18">
        <v>60000</v>
      </c>
      <c r="C26" s="1"/>
      <c r="D26" s="1" t="s">
        <v>15</v>
      </c>
      <c r="E26" s="13">
        <f>17500/2/E4</f>
        <v>0.17499999999999999</v>
      </c>
      <c r="F26" s="14">
        <f>E26*B26</f>
        <v>10500</v>
      </c>
      <c r="G26" s="14">
        <f>18500/2</f>
        <v>9250</v>
      </c>
      <c r="H26" s="14"/>
      <c r="I26" s="14"/>
      <c r="J26" s="37" t="s">
        <v>42</v>
      </c>
      <c r="K26" s="42">
        <v>20000</v>
      </c>
      <c r="L26" s="39"/>
      <c r="M26" s="39" t="s">
        <v>15</v>
      </c>
      <c r="N26" s="78">
        <f>17500/2/N4</f>
        <v>0.35</v>
      </c>
      <c r="O26" s="77">
        <f>N26*K26</f>
        <v>7000</v>
      </c>
      <c r="P26" s="77">
        <f>18500/2</f>
        <v>9250</v>
      </c>
    </row>
    <row r="27" spans="1:16" x14ac:dyDescent="0.25">
      <c r="C27" s="9" t="s">
        <v>16</v>
      </c>
      <c r="D27" s="9"/>
      <c r="E27" s="16">
        <f>SUM(E24:E26)</f>
        <v>1.081</v>
      </c>
      <c r="F27" s="22">
        <f>SUM(F24:F26)</f>
        <v>62130</v>
      </c>
      <c r="G27" s="22">
        <f>SUM(G24:G26)</f>
        <v>56400</v>
      </c>
      <c r="H27" s="25"/>
      <c r="I27" s="25"/>
      <c r="J27" s="39"/>
      <c r="K27" s="42"/>
      <c r="L27" s="48" t="s">
        <v>16</v>
      </c>
      <c r="M27" s="48"/>
      <c r="N27" s="80">
        <v>1.5413333333333332</v>
      </c>
      <c r="O27" s="79">
        <f>SUM(O24:O26)</f>
        <v>40030</v>
      </c>
      <c r="P27" s="54">
        <f>SUM(P24:P26)</f>
        <v>49800</v>
      </c>
    </row>
    <row r="28" spans="1:16" x14ac:dyDescent="0.25">
      <c r="C28" s="1"/>
      <c r="D28" s="1"/>
      <c r="E28" s="19"/>
      <c r="F28" s="14"/>
      <c r="G28" s="14"/>
      <c r="H28" s="14"/>
      <c r="I28" s="14"/>
      <c r="J28" s="1"/>
      <c r="K28" s="21"/>
      <c r="L28" s="1"/>
      <c r="M28" s="1"/>
      <c r="N28" s="19"/>
      <c r="O28" s="14"/>
      <c r="P28" s="6"/>
    </row>
    <row r="29" spans="1:16" ht="15.75" thickBot="1" x14ac:dyDescent="0.3">
      <c r="C29" s="3" t="s">
        <v>17</v>
      </c>
      <c r="D29" s="3"/>
      <c r="E29" s="17">
        <f>E21-E27</f>
        <v>0.31900000000000039</v>
      </c>
      <c r="F29" s="23">
        <f>F21-F27</f>
        <v>7870</v>
      </c>
      <c r="G29" s="23" t="e">
        <f>G21-G27-#REF!</f>
        <v>#REF!</v>
      </c>
      <c r="H29" s="25"/>
      <c r="I29" s="25"/>
      <c r="J29" s="1"/>
      <c r="K29" s="21"/>
      <c r="L29" s="3" t="s">
        <v>17</v>
      </c>
      <c r="M29" s="3"/>
      <c r="N29" s="17">
        <f>N21-N27</f>
        <v>2.5586666666666664</v>
      </c>
      <c r="O29" s="23">
        <f>O21-O27</f>
        <v>-25030</v>
      </c>
      <c r="P29" s="23" t="e">
        <f>P21-P27-#REF!</f>
        <v>#REF!</v>
      </c>
    </row>
    <row r="30" spans="1:16" ht="15.75" thickTop="1" x14ac:dyDescent="0.25">
      <c r="K30" s="21"/>
    </row>
    <row r="31" spans="1:16" x14ac:dyDescent="0.25">
      <c r="C31" s="5" t="s">
        <v>94</v>
      </c>
      <c r="D31" s="5"/>
      <c r="E31" s="95">
        <f>E21/E7</f>
        <v>0.14000000000000004</v>
      </c>
      <c r="F31" s="5"/>
      <c r="G31" s="5"/>
      <c r="H31" s="5"/>
      <c r="I31" s="5"/>
      <c r="J31" s="5"/>
      <c r="K31" s="96"/>
      <c r="L31" s="5" t="s">
        <v>94</v>
      </c>
      <c r="M31" s="5"/>
      <c r="N31" s="95">
        <f>N21/N7</f>
        <v>0.27333333333333332</v>
      </c>
    </row>
    <row r="32" spans="1:16" x14ac:dyDescent="0.25">
      <c r="D32" s="14"/>
    </row>
    <row r="36" spans="4:13" x14ac:dyDescent="0.25">
      <c r="D36" t="s">
        <v>0</v>
      </c>
    </row>
    <row r="37" spans="4:13" x14ac:dyDescent="0.25">
      <c r="D37" t="s">
        <v>54</v>
      </c>
    </row>
    <row r="38" spans="4:13" x14ac:dyDescent="0.25">
      <c r="D38" t="s">
        <v>21</v>
      </c>
      <c r="E38" t="s">
        <v>55</v>
      </c>
      <c r="F38" t="s">
        <v>56</v>
      </c>
      <c r="G38">
        <f>63/6</f>
        <v>10.5</v>
      </c>
    </row>
    <row r="39" spans="4:13" x14ac:dyDescent="0.25">
      <c r="D39" t="s">
        <v>57</v>
      </c>
    </row>
    <row r="41" spans="4:13" x14ac:dyDescent="0.25">
      <c r="D41" t="s">
        <v>20</v>
      </c>
    </row>
    <row r="42" spans="4:13" x14ac:dyDescent="0.25">
      <c r="D42" t="s">
        <v>62</v>
      </c>
    </row>
    <row r="43" spans="4:13" x14ac:dyDescent="0.25">
      <c r="D43" t="s">
        <v>44</v>
      </c>
    </row>
    <row r="45" spans="4:13" x14ac:dyDescent="0.25">
      <c r="D45" t="s">
        <v>45</v>
      </c>
    </row>
    <row r="46" spans="4:13" x14ac:dyDescent="0.25">
      <c r="D46" t="s">
        <v>46</v>
      </c>
      <c r="M46" t="s">
        <v>47</v>
      </c>
    </row>
    <row r="47" spans="4:13" x14ac:dyDescent="0.25">
      <c r="D47" t="s">
        <v>48</v>
      </c>
      <c r="M47" t="s">
        <v>49</v>
      </c>
    </row>
    <row r="49" spans="2:13" x14ac:dyDescent="0.25">
      <c r="D49" t="s">
        <v>50</v>
      </c>
      <c r="M49" t="s">
        <v>51</v>
      </c>
    </row>
    <row r="51" spans="2:13" x14ac:dyDescent="0.25">
      <c r="D51" t="s">
        <v>58</v>
      </c>
    </row>
    <row r="55" spans="2:13" x14ac:dyDescent="0.25">
      <c r="D55" t="s">
        <v>52</v>
      </c>
    </row>
    <row r="56" spans="2:13" x14ac:dyDescent="0.25">
      <c r="D56" t="s">
        <v>53</v>
      </c>
    </row>
    <row r="60" spans="2:13" x14ac:dyDescent="0.25">
      <c r="D60" t="s">
        <v>59</v>
      </c>
    </row>
    <row r="61" spans="2:13" x14ac:dyDescent="0.25">
      <c r="B61" t="s">
        <v>70</v>
      </c>
      <c r="D61" t="s">
        <v>60</v>
      </c>
    </row>
    <row r="62" spans="2:13" x14ac:dyDescent="0.25">
      <c r="D62" t="s">
        <v>76</v>
      </c>
    </row>
    <row r="63" spans="2:13" x14ac:dyDescent="0.25">
      <c r="D63" t="s">
        <v>71</v>
      </c>
    </row>
    <row r="64" spans="2:13" x14ac:dyDescent="0.25">
      <c r="D64" t="s">
        <v>72</v>
      </c>
      <c r="G64" t="s">
        <v>74</v>
      </c>
    </row>
    <row r="65" spans="4:5" x14ac:dyDescent="0.25">
      <c r="D65" t="s">
        <v>75</v>
      </c>
      <c r="E65" t="s">
        <v>73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43"/>
  <sheetViews>
    <sheetView topLeftCell="A12" workbookViewId="0">
      <selection activeCell="I24" sqref="I24"/>
    </sheetView>
  </sheetViews>
  <sheetFormatPr defaultRowHeight="15" x14ac:dyDescent="0.25"/>
  <cols>
    <col min="2" max="2" width="4.140625" customWidth="1"/>
    <col min="3" max="3" width="33.7109375" customWidth="1"/>
    <col min="4" max="5" width="12" customWidth="1"/>
    <col min="6" max="6" width="3.28515625" style="5" customWidth="1"/>
    <col min="7" max="7" width="12.5703125" customWidth="1"/>
    <col min="8" max="8" width="12" customWidth="1"/>
    <col min="9" max="9" width="3.28515625" style="5" customWidth="1"/>
    <col min="10" max="10" width="12" customWidth="1"/>
    <col min="12" max="12" width="9.7109375" bestFit="1" customWidth="1"/>
  </cols>
  <sheetData>
    <row r="3" spans="2:13" s="11" customFormat="1" ht="75" x14ac:dyDescent="0.25">
      <c r="B3" s="84" t="s">
        <v>0</v>
      </c>
      <c r="C3" s="20"/>
      <c r="D3" s="20" t="s">
        <v>3</v>
      </c>
      <c r="E3" s="20" t="s">
        <v>85</v>
      </c>
      <c r="F3" s="20"/>
      <c r="G3" s="20" t="s">
        <v>63</v>
      </c>
      <c r="H3" s="20" t="s">
        <v>64</v>
      </c>
      <c r="I3" s="20"/>
      <c r="J3" s="20" t="s">
        <v>4</v>
      </c>
    </row>
    <row r="4" spans="2:13" x14ac:dyDescent="0.25">
      <c r="B4" t="s">
        <v>27</v>
      </c>
    </row>
    <row r="5" spans="2:13" x14ac:dyDescent="0.25">
      <c r="C5" t="s">
        <v>1</v>
      </c>
      <c r="D5" s="12">
        <v>60000</v>
      </c>
      <c r="E5" s="12">
        <v>0</v>
      </c>
      <c r="F5" s="67"/>
      <c r="G5" s="12">
        <v>60000</v>
      </c>
      <c r="H5" s="12">
        <f>G5-J5</f>
        <v>10000</v>
      </c>
      <c r="I5" s="67" t="s">
        <v>68</v>
      </c>
      <c r="J5" s="12">
        <v>50000</v>
      </c>
    </row>
    <row r="6" spans="2:13" x14ac:dyDescent="0.25">
      <c r="C6" t="s">
        <v>2</v>
      </c>
      <c r="D6" s="12">
        <v>20000</v>
      </c>
      <c r="E6" s="12">
        <v>0</v>
      </c>
      <c r="F6" s="67"/>
      <c r="G6" s="12">
        <v>20000</v>
      </c>
      <c r="H6" s="12">
        <f>G6-J6</f>
        <v>-5000</v>
      </c>
      <c r="I6" s="67" t="s">
        <v>69</v>
      </c>
      <c r="J6" s="12">
        <v>25000</v>
      </c>
    </row>
    <row r="7" spans="2:13" ht="4.5" customHeight="1" x14ac:dyDescent="0.25">
      <c r="D7" s="4"/>
      <c r="E7" s="4"/>
      <c r="F7" s="60"/>
      <c r="G7" s="4"/>
      <c r="H7" s="4"/>
      <c r="I7" s="60"/>
      <c r="J7" s="4"/>
    </row>
    <row r="8" spans="2:13" x14ac:dyDescent="0.25">
      <c r="B8" t="s">
        <v>5</v>
      </c>
      <c r="D8" s="4"/>
      <c r="E8" s="4"/>
      <c r="F8" s="60"/>
      <c r="G8" s="4"/>
      <c r="H8" s="4"/>
      <c r="I8" s="60"/>
      <c r="J8" s="4"/>
    </row>
    <row r="9" spans="2:13" x14ac:dyDescent="0.25">
      <c r="C9" t="s">
        <v>1</v>
      </c>
      <c r="D9" s="4">
        <v>630000</v>
      </c>
      <c r="E9" s="4">
        <f>D9-G9</f>
        <v>30000</v>
      </c>
      <c r="F9" s="60" t="s">
        <v>68</v>
      </c>
      <c r="G9" s="4">
        <f>60000*10</f>
        <v>600000</v>
      </c>
      <c r="H9" s="12">
        <f>G9-J9</f>
        <v>100000</v>
      </c>
      <c r="I9" s="67" t="s">
        <v>68</v>
      </c>
      <c r="J9" s="4">
        <v>500000</v>
      </c>
    </row>
    <row r="10" spans="2:13" x14ac:dyDescent="0.25">
      <c r="B10" s="1"/>
      <c r="C10" s="1" t="s">
        <v>2</v>
      </c>
      <c r="D10" s="4">
        <v>300000</v>
      </c>
      <c r="E10" s="4">
        <f>D10-G10</f>
        <v>0</v>
      </c>
      <c r="F10" s="60"/>
      <c r="G10" s="4">
        <f>20000*15</f>
        <v>300000</v>
      </c>
      <c r="H10" s="12">
        <f>G10-J10</f>
        <v>-75000</v>
      </c>
      <c r="I10" s="67" t="s">
        <v>69</v>
      </c>
      <c r="J10" s="4">
        <v>375000</v>
      </c>
    </row>
    <row r="11" spans="2:13" x14ac:dyDescent="0.25">
      <c r="B11" s="9" t="s">
        <v>6</v>
      </c>
      <c r="C11" s="9"/>
      <c r="D11" s="10">
        <f>SUM(D9:D10)</f>
        <v>930000</v>
      </c>
      <c r="E11" s="10">
        <f>D11-G11</f>
        <v>30000</v>
      </c>
      <c r="F11" s="68" t="s">
        <v>68</v>
      </c>
      <c r="G11" s="10">
        <f>SUM(G9:G10)</f>
        <v>900000</v>
      </c>
      <c r="H11" s="64">
        <f>G11-J11</f>
        <v>25000</v>
      </c>
      <c r="I11" s="72" t="s">
        <v>68</v>
      </c>
      <c r="J11" s="10">
        <f t="shared" ref="J11" si="0">SUM(J9:J10)</f>
        <v>875000</v>
      </c>
      <c r="M11" s="4"/>
    </row>
    <row r="12" spans="2:13" ht="9" customHeight="1" x14ac:dyDescent="0.25">
      <c r="D12" s="4"/>
      <c r="E12" s="4"/>
      <c r="F12" s="60"/>
      <c r="G12" s="4"/>
      <c r="H12" s="4"/>
      <c r="I12" s="60"/>
      <c r="J12" s="4"/>
    </row>
    <row r="13" spans="2:13" x14ac:dyDescent="0.25">
      <c r="B13" s="1" t="s">
        <v>28</v>
      </c>
      <c r="C13" s="1"/>
      <c r="D13" s="6"/>
      <c r="E13" s="6"/>
      <c r="F13" s="69"/>
      <c r="G13" s="6"/>
      <c r="H13" s="6"/>
      <c r="I13" s="69"/>
      <c r="J13" s="6"/>
      <c r="L13" s="4"/>
    </row>
    <row r="14" spans="2:13" x14ac:dyDescent="0.25">
      <c r="B14" s="1"/>
      <c r="C14" s="1" t="s">
        <v>7</v>
      </c>
      <c r="D14" s="6">
        <v>480000</v>
      </c>
      <c r="E14" s="6">
        <f>G14-D14</f>
        <v>-40000</v>
      </c>
      <c r="F14" s="69" t="s">
        <v>69</v>
      </c>
      <c r="G14" s="6">
        <f>'EX1 FLEX  BUD'!F13</f>
        <v>440000</v>
      </c>
      <c r="H14" s="65">
        <f>J14-G14</f>
        <v>-40000</v>
      </c>
      <c r="I14" s="73" t="s">
        <v>69</v>
      </c>
      <c r="J14" s="6">
        <v>400000</v>
      </c>
    </row>
    <row r="15" spans="2:13" x14ac:dyDescent="0.25">
      <c r="B15" s="2"/>
      <c r="C15" s="2" t="s">
        <v>8</v>
      </c>
      <c r="D15" s="7">
        <v>200000</v>
      </c>
      <c r="E15" s="7">
        <f>G15-D15</f>
        <v>25000</v>
      </c>
      <c r="F15" s="70" t="s">
        <v>68</v>
      </c>
      <c r="G15" s="7">
        <f>'EX1 FLEX  BUD'!O13</f>
        <v>225000</v>
      </c>
      <c r="H15" s="66">
        <f>J15-G15</f>
        <v>25000</v>
      </c>
      <c r="I15" s="74" t="s">
        <v>68</v>
      </c>
      <c r="J15" s="7">
        <v>250000</v>
      </c>
    </row>
    <row r="16" spans="2:13" x14ac:dyDescent="0.25">
      <c r="B16" t="s">
        <v>95</v>
      </c>
      <c r="D16" s="4">
        <f>SUM(D14:D15)</f>
        <v>680000</v>
      </c>
      <c r="E16" s="6">
        <f>G16-D16</f>
        <v>-15000</v>
      </c>
      <c r="F16" s="60" t="s">
        <v>69</v>
      </c>
      <c r="G16" s="4">
        <f>SUM(G14:G15)</f>
        <v>665000</v>
      </c>
      <c r="H16" s="4">
        <f>SUM(H14:H15)</f>
        <v>-15000</v>
      </c>
      <c r="I16" s="67" t="s">
        <v>69</v>
      </c>
      <c r="J16" s="4">
        <f>SUM(J14:J15)</f>
        <v>650000</v>
      </c>
      <c r="L16" s="4"/>
    </row>
    <row r="17" spans="2:19" x14ac:dyDescent="0.25">
      <c r="D17" s="4"/>
      <c r="E17" s="4"/>
      <c r="F17" s="60"/>
      <c r="G17" s="4"/>
      <c r="H17" s="4"/>
      <c r="I17" s="60"/>
      <c r="J17" s="4"/>
    </row>
    <row r="18" spans="2:19" x14ac:dyDescent="0.25">
      <c r="B18" t="s">
        <v>29</v>
      </c>
      <c r="D18" s="4"/>
      <c r="E18" s="4"/>
      <c r="F18" s="60"/>
      <c r="G18" s="4"/>
      <c r="H18" s="4"/>
      <c r="I18" s="60"/>
      <c r="J18" s="4"/>
    </row>
    <row r="19" spans="2:19" x14ac:dyDescent="0.25">
      <c r="B19" s="1"/>
      <c r="C19" s="1" t="s">
        <v>66</v>
      </c>
      <c r="D19" s="4">
        <v>46500</v>
      </c>
      <c r="E19" s="4">
        <f>G19-D19</f>
        <v>-1500</v>
      </c>
      <c r="F19" s="60" t="s">
        <v>69</v>
      </c>
      <c r="G19" s="4">
        <f>G11*0.05</f>
        <v>45000</v>
      </c>
      <c r="H19" s="12">
        <f>J19-G19</f>
        <v>-1250</v>
      </c>
      <c r="I19" s="67" t="s">
        <v>69</v>
      </c>
      <c r="J19" s="4">
        <v>43750</v>
      </c>
    </row>
    <row r="20" spans="2:19" x14ac:dyDescent="0.25">
      <c r="B20" s="2"/>
      <c r="C20" s="2" t="s">
        <v>67</v>
      </c>
      <c r="D20" s="7">
        <v>9300</v>
      </c>
      <c r="E20" s="7">
        <f>G20-D20</f>
        <v>-300</v>
      </c>
      <c r="F20" s="70" t="s">
        <v>69</v>
      </c>
      <c r="G20" s="7">
        <f>G11*0.01</f>
        <v>9000</v>
      </c>
      <c r="H20" s="66">
        <f>J20-G20</f>
        <v>-250</v>
      </c>
      <c r="I20" s="74" t="s">
        <v>69</v>
      </c>
      <c r="J20" s="7">
        <v>8750</v>
      </c>
    </row>
    <row r="21" spans="2:19" x14ac:dyDescent="0.25">
      <c r="B21" s="1" t="s">
        <v>30</v>
      </c>
      <c r="C21" s="1"/>
      <c r="D21" s="4">
        <f>SUM(D19:D20)</f>
        <v>55800</v>
      </c>
      <c r="E21" s="4">
        <f>G21-D21</f>
        <v>-1800</v>
      </c>
      <c r="F21" s="60" t="s">
        <v>69</v>
      </c>
      <c r="G21" s="4">
        <f>SUM(G19:G20)</f>
        <v>54000</v>
      </c>
      <c r="H21" s="4">
        <f>SUM(H19:H20)</f>
        <v>-1500</v>
      </c>
      <c r="I21" s="67" t="s">
        <v>69</v>
      </c>
      <c r="J21" s="4">
        <f>SUM(J19:J20)</f>
        <v>52500</v>
      </c>
      <c r="M21" s="4"/>
    </row>
    <row r="22" spans="2:19" x14ac:dyDescent="0.25">
      <c r="B22" s="1"/>
      <c r="C22" s="1"/>
      <c r="D22" s="4"/>
      <c r="E22" s="4"/>
      <c r="F22" s="60"/>
      <c r="G22" s="4"/>
      <c r="H22" s="4"/>
      <c r="I22" s="60"/>
      <c r="J22" s="4"/>
    </row>
    <row r="23" spans="2:19" x14ac:dyDescent="0.25">
      <c r="B23" s="9" t="s">
        <v>11</v>
      </c>
      <c r="C23" s="9"/>
      <c r="D23" s="10">
        <f>D16+D21</f>
        <v>735800</v>
      </c>
      <c r="E23" s="10">
        <f>G23-D23</f>
        <v>-16800</v>
      </c>
      <c r="F23" s="68" t="s">
        <v>69</v>
      </c>
      <c r="G23" s="10">
        <f>G16+G21</f>
        <v>719000</v>
      </c>
      <c r="H23" s="10">
        <f>H16+H21</f>
        <v>-16500</v>
      </c>
      <c r="I23" s="72" t="s">
        <v>69</v>
      </c>
      <c r="J23" s="10">
        <f>J16+J21</f>
        <v>702500</v>
      </c>
    </row>
    <row r="24" spans="2:19" x14ac:dyDescent="0.25">
      <c r="D24" s="4"/>
      <c r="E24" s="4"/>
      <c r="F24" s="60"/>
      <c r="G24" s="4"/>
      <c r="H24" s="4"/>
      <c r="I24" s="60"/>
      <c r="J24" s="4"/>
    </row>
    <row r="25" spans="2:19" x14ac:dyDescent="0.25">
      <c r="B25" s="9" t="s">
        <v>12</v>
      </c>
      <c r="C25" s="9"/>
      <c r="D25" s="10">
        <f>D11-D23</f>
        <v>194200</v>
      </c>
      <c r="E25" s="10">
        <f>G25-D25</f>
        <v>-13200</v>
      </c>
      <c r="F25" s="68" t="s">
        <v>69</v>
      </c>
      <c r="G25" s="10">
        <f>G11-G23</f>
        <v>181000</v>
      </c>
      <c r="H25" s="10">
        <f>G25-J25</f>
        <v>8500</v>
      </c>
      <c r="I25" s="72" t="s">
        <v>68</v>
      </c>
      <c r="J25" s="10">
        <f>J11-J23</f>
        <v>172500</v>
      </c>
    </row>
    <row r="26" spans="2:19" x14ac:dyDescent="0.25">
      <c r="D26" s="4"/>
      <c r="E26" s="4"/>
      <c r="F26" s="60"/>
      <c r="G26" s="4"/>
      <c r="H26" s="4"/>
      <c r="I26" s="60"/>
      <c r="J26" s="4"/>
    </row>
    <row r="27" spans="2:19" x14ac:dyDescent="0.25">
      <c r="B27" t="s">
        <v>13</v>
      </c>
      <c r="D27" s="4"/>
      <c r="E27" s="4"/>
      <c r="F27" s="60"/>
      <c r="G27" s="4"/>
      <c r="H27" s="4"/>
      <c r="I27" s="60"/>
      <c r="J27" s="4"/>
    </row>
    <row r="28" spans="2:19" x14ac:dyDescent="0.25">
      <c r="C28" t="s">
        <v>18</v>
      </c>
      <c r="D28" s="4">
        <v>49600</v>
      </c>
      <c r="E28" s="4">
        <f>G28-D28</f>
        <v>-49600</v>
      </c>
      <c r="F28" s="60" t="s">
        <v>69</v>
      </c>
      <c r="G28" s="4">
        <v>0</v>
      </c>
      <c r="H28" s="92">
        <f t="shared" ref="H28:H33" si="1">J28-G28</f>
        <v>0</v>
      </c>
      <c r="I28" s="67"/>
      <c r="J28" s="4">
        <v>0</v>
      </c>
      <c r="L28" s="4"/>
    </row>
    <row r="29" spans="2:19" x14ac:dyDescent="0.25">
      <c r="C29" t="s">
        <v>31</v>
      </c>
      <c r="D29" s="4">
        <f>14000+12000+1900</f>
        <v>27900</v>
      </c>
      <c r="E29" s="4">
        <f t="shared" ref="E29:E33" si="2">G29-D29</f>
        <v>-600</v>
      </c>
      <c r="F29" s="60" t="s">
        <v>69</v>
      </c>
      <c r="G29" s="4">
        <f>J29</f>
        <v>27300</v>
      </c>
      <c r="H29" s="92">
        <f t="shared" si="1"/>
        <v>0</v>
      </c>
      <c r="I29" s="67"/>
      <c r="J29" s="4">
        <f>9100*3</f>
        <v>27300</v>
      </c>
      <c r="L29" s="4"/>
    </row>
    <row r="30" spans="2:19" x14ac:dyDescent="0.25">
      <c r="C30" t="s">
        <v>32</v>
      </c>
      <c r="D30" s="4">
        <f>11000+9000+1300</f>
        <v>21300</v>
      </c>
      <c r="E30" s="4">
        <f t="shared" si="2"/>
        <v>-600</v>
      </c>
      <c r="F30" s="60" t="s">
        <v>69</v>
      </c>
      <c r="G30" s="4">
        <f>J30</f>
        <v>20700</v>
      </c>
      <c r="H30" s="92">
        <f t="shared" si="1"/>
        <v>0</v>
      </c>
      <c r="I30" s="67"/>
      <c r="J30" s="4">
        <f>6900*3</f>
        <v>20700</v>
      </c>
      <c r="L30" s="4"/>
    </row>
    <row r="31" spans="2:19" x14ac:dyDescent="0.25">
      <c r="B31" s="1"/>
      <c r="C31" s="1" t="s">
        <v>14</v>
      </c>
      <c r="D31" s="4">
        <v>38500</v>
      </c>
      <c r="E31" s="4">
        <f t="shared" si="2"/>
        <v>-2500</v>
      </c>
      <c r="F31" s="60" t="s">
        <v>69</v>
      </c>
      <c r="G31" s="4">
        <f>J31</f>
        <v>36000</v>
      </c>
      <c r="H31" s="92">
        <f t="shared" si="1"/>
        <v>0</v>
      </c>
      <c r="I31" s="67"/>
      <c r="J31" s="4">
        <v>36000</v>
      </c>
      <c r="M31" s="4"/>
      <c r="R31" s="2"/>
      <c r="S31" s="2"/>
    </row>
    <row r="32" spans="2:19" x14ac:dyDescent="0.25">
      <c r="B32" s="1"/>
      <c r="C32" s="1" t="s">
        <v>15</v>
      </c>
      <c r="D32" s="4">
        <v>18500</v>
      </c>
      <c r="E32" s="4">
        <f t="shared" si="2"/>
        <v>-1000</v>
      </c>
      <c r="F32" s="60" t="s">
        <v>69</v>
      </c>
      <c r="G32" s="4">
        <f>J32</f>
        <v>17500</v>
      </c>
      <c r="H32" s="92">
        <f t="shared" si="1"/>
        <v>0</v>
      </c>
      <c r="I32" s="67"/>
      <c r="J32" s="4">
        <v>17500</v>
      </c>
      <c r="M32" s="4"/>
    </row>
    <row r="33" spans="2:10" x14ac:dyDescent="0.25">
      <c r="B33" s="9" t="s">
        <v>16</v>
      </c>
      <c r="C33" s="9"/>
      <c r="D33" s="10">
        <f>SUM(D28:D32)</f>
        <v>155800</v>
      </c>
      <c r="E33" s="10">
        <f t="shared" si="2"/>
        <v>-54300</v>
      </c>
      <c r="F33" s="68" t="s">
        <v>69</v>
      </c>
      <c r="G33" s="10">
        <f>SUM(G28:G32)</f>
        <v>101500</v>
      </c>
      <c r="H33" s="93">
        <f t="shared" si="1"/>
        <v>0</v>
      </c>
      <c r="I33" s="72"/>
      <c r="J33" s="10">
        <f>SUM(J28:J32)</f>
        <v>101500</v>
      </c>
    </row>
    <row r="34" spans="2:10" x14ac:dyDescent="0.25">
      <c r="D34" s="4"/>
      <c r="E34" s="4"/>
      <c r="F34" s="60"/>
      <c r="G34" s="4"/>
      <c r="H34" s="4"/>
      <c r="I34" s="60"/>
      <c r="J34" s="4"/>
    </row>
    <row r="35" spans="2:10" ht="15.75" thickBot="1" x14ac:dyDescent="0.3">
      <c r="B35" s="3" t="s">
        <v>17</v>
      </c>
      <c r="C35" s="3"/>
      <c r="D35" s="8">
        <f>D25-D33</f>
        <v>38400</v>
      </c>
      <c r="E35" s="8">
        <f>D35-G35</f>
        <v>-41100</v>
      </c>
      <c r="F35" s="71" t="s">
        <v>69</v>
      </c>
      <c r="G35" s="8">
        <f>G25-G33</f>
        <v>79500</v>
      </c>
      <c r="H35" s="75">
        <f>G35-J35</f>
        <v>8500</v>
      </c>
      <c r="I35" s="76" t="s">
        <v>68</v>
      </c>
      <c r="J35" s="8">
        <f>J25-J33</f>
        <v>71000</v>
      </c>
    </row>
    <row r="36" spans="2:10" ht="15.75" thickTop="1" x14ac:dyDescent="0.25">
      <c r="E36" s="35"/>
      <c r="H36" s="35"/>
    </row>
    <row r="37" spans="2:10" x14ac:dyDescent="0.25">
      <c r="E37" s="35"/>
      <c r="H37" s="35"/>
    </row>
    <row r="38" spans="2:10" x14ac:dyDescent="0.25">
      <c r="E38" s="81">
        <f>E35</f>
        <v>-41100</v>
      </c>
      <c r="F38" s="5" t="s">
        <v>69</v>
      </c>
      <c r="H38" s="81">
        <f>H35</f>
        <v>8500</v>
      </c>
      <c r="I38" s="5" t="s">
        <v>68</v>
      </c>
    </row>
    <row r="41" spans="2:10" x14ac:dyDescent="0.25">
      <c r="G41" s="4">
        <f>E38+H38</f>
        <v>-32600</v>
      </c>
      <c r="H41" t="s">
        <v>69</v>
      </c>
    </row>
    <row r="42" spans="2:10" x14ac:dyDescent="0.25">
      <c r="H42" s="4"/>
    </row>
    <row r="43" spans="2:10" x14ac:dyDescent="0.25">
      <c r="G43" s="4"/>
    </row>
  </sheetData>
  <conditionalFormatting sqref="D9:J33">
    <cfRule type="cellIs" dxfId="16" priority="6" operator="lessThan">
      <formula>0</formula>
    </cfRule>
  </conditionalFormatting>
  <conditionalFormatting sqref="H5:H33 E5:E33">
    <cfRule type="cellIs" dxfId="15" priority="5" operator="greaterThan">
      <formula>0</formula>
    </cfRule>
  </conditionalFormatting>
  <conditionalFormatting sqref="H28:H35">
    <cfRule type="cellIs" dxfId="14" priority="4" operator="greaterThan">
      <formula>350</formula>
    </cfRule>
  </conditionalFormatting>
  <conditionalFormatting sqref="H6">
    <cfRule type="cellIs" dxfId="13" priority="3" operator="lessThan">
      <formula>0</formula>
    </cfRule>
  </conditionalFormatting>
  <conditionalFormatting sqref="G41 H38 E38">
    <cfRule type="cellIs" dxfId="12" priority="1" operator="lessThan">
      <formula>0</formula>
    </cfRule>
    <cfRule type="cellIs" dxfId="11" priority="2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G14" sqref="B1:G14"/>
    </sheetView>
  </sheetViews>
  <sheetFormatPr defaultRowHeight="15" x14ac:dyDescent="0.25"/>
  <cols>
    <col min="1" max="1" width="6.7109375" customWidth="1"/>
    <col min="2" max="2" width="19.28515625" bestFit="1" customWidth="1"/>
    <col min="3" max="3" width="16.28515625" bestFit="1" customWidth="1"/>
    <col min="4" max="4" width="9.7109375" bestFit="1" customWidth="1"/>
    <col min="5" max="5" width="9" bestFit="1" customWidth="1"/>
    <col min="6" max="6" width="8.7109375" bestFit="1" customWidth="1"/>
    <col min="7" max="7" width="11.28515625" bestFit="1" customWidth="1"/>
  </cols>
  <sheetData>
    <row r="1" spans="1:7" x14ac:dyDescent="0.25">
      <c r="B1" s="89" t="s">
        <v>134</v>
      </c>
      <c r="C1" t="s">
        <v>136</v>
      </c>
    </row>
    <row r="3" spans="1:7" x14ac:dyDescent="0.25">
      <c r="B3" s="89" t="s">
        <v>132</v>
      </c>
      <c r="C3" s="89" t="s">
        <v>133</v>
      </c>
    </row>
    <row r="4" spans="1:7" x14ac:dyDescent="0.25">
      <c r="B4" s="89" t="s">
        <v>130</v>
      </c>
      <c r="C4" t="s">
        <v>36</v>
      </c>
      <c r="D4" t="s">
        <v>113</v>
      </c>
      <c r="E4" t="s">
        <v>126</v>
      </c>
      <c r="F4" t="s">
        <v>127</v>
      </c>
      <c r="G4" t="s">
        <v>131</v>
      </c>
    </row>
    <row r="5" spans="1:7" x14ac:dyDescent="0.25">
      <c r="A5" s="4"/>
      <c r="B5" s="90" t="s">
        <v>118</v>
      </c>
      <c r="C5" s="4">
        <v>-600.00000000000364</v>
      </c>
      <c r="D5" s="4">
        <v>-8000</v>
      </c>
      <c r="E5" s="4"/>
      <c r="F5" s="4">
        <v>-1400.0000000000073</v>
      </c>
      <c r="G5" s="4">
        <v>-10000.000000000011</v>
      </c>
    </row>
    <row r="6" spans="1:7" x14ac:dyDescent="0.25">
      <c r="A6" s="4"/>
      <c r="B6" s="91" t="s">
        <v>26</v>
      </c>
      <c r="C6" s="4">
        <v>200</v>
      </c>
      <c r="D6" s="4">
        <v>-3000</v>
      </c>
      <c r="E6" s="4"/>
      <c r="F6" s="4">
        <v>200</v>
      </c>
      <c r="G6" s="4">
        <v>-2600</v>
      </c>
    </row>
    <row r="7" spans="1:7" x14ac:dyDescent="0.25">
      <c r="A7" s="4"/>
      <c r="B7" s="91" t="s">
        <v>24</v>
      </c>
      <c r="C7" s="4">
        <v>-800.00000000000364</v>
      </c>
      <c r="D7" s="4">
        <v>-5000</v>
      </c>
      <c r="E7" s="4"/>
      <c r="F7" s="4">
        <v>-1600.0000000000073</v>
      </c>
      <c r="G7" s="4">
        <v>-7400.0000000000109</v>
      </c>
    </row>
    <row r="8" spans="1:7" x14ac:dyDescent="0.25">
      <c r="A8" s="4"/>
      <c r="B8" s="90" t="s">
        <v>141</v>
      </c>
      <c r="C8" s="4"/>
      <c r="D8" s="4"/>
      <c r="E8" s="4">
        <v>-1200</v>
      </c>
      <c r="F8" s="4">
        <v>-600.00000000000387</v>
      </c>
      <c r="G8" s="4">
        <v>-1800.0000000000041</v>
      </c>
    </row>
    <row r="9" spans="1:7" x14ac:dyDescent="0.25">
      <c r="A9" s="4"/>
      <c r="B9" s="91" t="s">
        <v>26</v>
      </c>
      <c r="C9" s="4"/>
      <c r="D9" s="4"/>
      <c r="E9" s="4">
        <v>-600</v>
      </c>
      <c r="F9" s="4">
        <v>-200.00000000000426</v>
      </c>
      <c r="G9" s="4">
        <v>-800.00000000000432</v>
      </c>
    </row>
    <row r="10" spans="1:7" x14ac:dyDescent="0.25">
      <c r="A10" s="4"/>
      <c r="B10" s="91" t="s">
        <v>24</v>
      </c>
      <c r="C10" s="4"/>
      <c r="D10" s="4"/>
      <c r="E10" s="4">
        <v>-600</v>
      </c>
      <c r="F10" s="4">
        <v>-399.99999999999966</v>
      </c>
      <c r="G10" s="4">
        <v>-999.99999999999966</v>
      </c>
    </row>
    <row r="11" spans="1:7" x14ac:dyDescent="0.25">
      <c r="A11" s="4"/>
      <c r="B11" s="90" t="s">
        <v>117</v>
      </c>
      <c r="C11" s="4">
        <v>0</v>
      </c>
      <c r="D11" s="4">
        <v>-39000.000000000022</v>
      </c>
      <c r="E11" s="4"/>
      <c r="F11" s="4"/>
      <c r="G11" s="4">
        <v>-39000.000000000022</v>
      </c>
    </row>
    <row r="12" spans="1:7" x14ac:dyDescent="0.25">
      <c r="A12" s="4"/>
      <c r="B12" s="91" t="s">
        <v>26</v>
      </c>
      <c r="C12" s="4">
        <v>0</v>
      </c>
      <c r="D12" s="4">
        <v>0</v>
      </c>
      <c r="E12" s="4"/>
      <c r="F12" s="4"/>
      <c r="G12" s="4">
        <v>0</v>
      </c>
    </row>
    <row r="13" spans="1:7" x14ac:dyDescent="0.25">
      <c r="A13" s="4"/>
      <c r="B13" s="91" t="s">
        <v>24</v>
      </c>
      <c r="C13" s="4">
        <v>0</v>
      </c>
      <c r="D13" s="4">
        <v>-39000.000000000022</v>
      </c>
      <c r="E13" s="4"/>
      <c r="F13" s="4"/>
      <c r="G13" s="4">
        <v>-39000.000000000022</v>
      </c>
    </row>
    <row r="14" spans="1:7" x14ac:dyDescent="0.25">
      <c r="B14" s="90" t="s">
        <v>131</v>
      </c>
      <c r="C14" s="4">
        <v>-600.00000000000364</v>
      </c>
      <c r="D14" s="4">
        <v>-47000.000000000022</v>
      </c>
      <c r="E14" s="4">
        <v>-1200</v>
      </c>
      <c r="F14" s="4">
        <v>-2000.0000000000114</v>
      </c>
      <c r="G14" s="4">
        <v>-50800.000000000036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workbookViewId="0">
      <selection activeCell="A20" sqref="A20:XFD20"/>
    </sheetView>
  </sheetViews>
  <sheetFormatPr defaultRowHeight="15" x14ac:dyDescent="0.25"/>
  <cols>
    <col min="2" max="2" width="8.5703125" hidden="1" customWidth="1"/>
    <col min="3" max="3" width="9.5703125" hidden="1" customWidth="1"/>
    <col min="4" max="4" width="13.28515625" hidden="1" customWidth="1"/>
    <col min="5" max="5" width="21.140625" hidden="1" customWidth="1"/>
    <col min="6" max="6" width="21" bestFit="1" customWidth="1"/>
    <col min="7" max="9" width="21" hidden="1" customWidth="1"/>
    <col min="10" max="10" width="14.7109375" customWidth="1"/>
    <col min="11" max="13" width="11" customWidth="1"/>
    <col min="14" max="14" width="14.7109375" customWidth="1"/>
    <col min="15" max="15" width="15.5703125" customWidth="1"/>
    <col min="16" max="16" width="22.140625" customWidth="1"/>
    <col min="17" max="17" width="16.140625" bestFit="1" customWidth="1"/>
    <col min="18" max="18" width="14" customWidth="1"/>
    <col min="19" max="19" width="17.7109375" bestFit="1" customWidth="1"/>
    <col min="20" max="20" width="13" customWidth="1"/>
    <col min="21" max="21" width="14.5703125" bestFit="1" customWidth="1"/>
    <col min="22" max="22" width="18" bestFit="1" customWidth="1"/>
  </cols>
  <sheetData>
    <row r="1" spans="2:16" s="37" customFormat="1" x14ac:dyDescent="0.25"/>
    <row r="2" spans="2:16" s="37" customFormat="1" x14ac:dyDescent="0.25">
      <c r="B2" s="83" t="s">
        <v>96</v>
      </c>
      <c r="G2" s="83"/>
      <c r="H2" s="83"/>
      <c r="I2" s="83"/>
      <c r="N2" s="59"/>
    </row>
    <row r="3" spans="2:16" s="11" customFormat="1" ht="30" x14ac:dyDescent="0.25">
      <c r="B3" s="20" t="s">
        <v>114</v>
      </c>
      <c r="C3" s="20" t="s">
        <v>115</v>
      </c>
      <c r="D3" s="20" t="s">
        <v>116</v>
      </c>
      <c r="E3" s="20" t="s">
        <v>123</v>
      </c>
      <c r="F3" s="101" t="s">
        <v>129</v>
      </c>
      <c r="G3" s="101" t="s">
        <v>134</v>
      </c>
      <c r="H3" s="101" t="s">
        <v>25</v>
      </c>
      <c r="I3" s="101"/>
      <c r="J3" s="101" t="s">
        <v>97</v>
      </c>
      <c r="K3" s="101" t="s">
        <v>98</v>
      </c>
      <c r="L3" s="101" t="s">
        <v>84</v>
      </c>
      <c r="M3" s="101" t="s">
        <v>99</v>
      </c>
      <c r="N3" s="106" t="s">
        <v>77</v>
      </c>
      <c r="P3" s="85"/>
    </row>
    <row r="4" spans="2:16" x14ac:dyDescent="0.25">
      <c r="B4" t="s">
        <v>24</v>
      </c>
      <c r="C4" t="s">
        <v>113</v>
      </c>
      <c r="D4" t="s">
        <v>117</v>
      </c>
      <c r="E4" t="s">
        <v>105</v>
      </c>
      <c r="F4" s="99" t="s">
        <v>79</v>
      </c>
      <c r="G4" s="99" t="s">
        <v>136</v>
      </c>
      <c r="H4" s="105">
        <f>N4</f>
        <v>-39000.000000000022</v>
      </c>
      <c r="I4" s="99"/>
      <c r="J4" s="107">
        <v>60000</v>
      </c>
      <c r="K4" s="108">
        <f>339000/60000</f>
        <v>5.65</v>
      </c>
      <c r="L4" s="108">
        <v>5</v>
      </c>
      <c r="M4" s="108">
        <f>K4-L4</f>
        <v>0.65000000000000036</v>
      </c>
      <c r="N4" s="108">
        <f>-M4*J4</f>
        <v>-39000.000000000022</v>
      </c>
    </row>
    <row r="5" spans="2:16" x14ac:dyDescent="0.25">
      <c r="B5" t="s">
        <v>26</v>
      </c>
      <c r="C5" t="s">
        <v>113</v>
      </c>
      <c r="D5" t="s">
        <v>117</v>
      </c>
      <c r="E5" t="s">
        <v>105</v>
      </c>
      <c r="F5" s="99" t="s">
        <v>80</v>
      </c>
      <c r="G5" s="99" t="s">
        <v>136</v>
      </c>
      <c r="H5" s="105">
        <f>N5</f>
        <v>0</v>
      </c>
      <c r="I5" s="99"/>
      <c r="J5" s="107">
        <v>30000</v>
      </c>
      <c r="K5" s="108">
        <v>6</v>
      </c>
      <c r="L5" s="108">
        <v>6</v>
      </c>
      <c r="M5" s="108">
        <f>K5-L5</f>
        <v>0</v>
      </c>
      <c r="N5" s="108">
        <f>M5*J5</f>
        <v>0</v>
      </c>
    </row>
    <row r="6" spans="2:16" x14ac:dyDescent="0.25">
      <c r="B6" t="s">
        <v>24</v>
      </c>
      <c r="C6" t="s">
        <v>36</v>
      </c>
      <c r="D6" t="s">
        <v>117</v>
      </c>
      <c r="E6" t="s">
        <v>121</v>
      </c>
      <c r="F6" s="99" t="s">
        <v>124</v>
      </c>
      <c r="G6" s="99" t="s">
        <v>136</v>
      </c>
      <c r="H6" s="105">
        <f>N6</f>
        <v>0</v>
      </c>
      <c r="I6" s="99"/>
      <c r="J6" s="107">
        <v>9300</v>
      </c>
      <c r="K6" s="108">
        <v>6</v>
      </c>
      <c r="L6" s="108">
        <v>6</v>
      </c>
      <c r="M6" s="108">
        <f>K6-L6</f>
        <v>0</v>
      </c>
      <c r="N6" s="108">
        <f>M6*J6</f>
        <v>0</v>
      </c>
    </row>
    <row r="7" spans="2:16" x14ac:dyDescent="0.25">
      <c r="B7" t="s">
        <v>26</v>
      </c>
      <c r="C7" t="s">
        <v>36</v>
      </c>
      <c r="D7" t="s">
        <v>117</v>
      </c>
      <c r="E7" t="s">
        <v>121</v>
      </c>
      <c r="F7" s="99" t="s">
        <v>125</v>
      </c>
      <c r="G7" s="99" t="s">
        <v>136</v>
      </c>
      <c r="H7" s="105">
        <f>N7</f>
        <v>0</v>
      </c>
      <c r="I7" s="99"/>
      <c r="J7" s="107">
        <v>5600</v>
      </c>
      <c r="K7" s="108">
        <v>6</v>
      </c>
      <c r="L7" s="108">
        <v>6</v>
      </c>
      <c r="M7" s="108">
        <f>K7-L7</f>
        <v>0</v>
      </c>
      <c r="N7" s="108">
        <f>M7*J7</f>
        <v>0</v>
      </c>
    </row>
    <row r="8" spans="2:16" x14ac:dyDescent="0.25">
      <c r="B8" s="5" t="s">
        <v>104</v>
      </c>
      <c r="G8" s="5"/>
      <c r="H8" s="82">
        <f>N8</f>
        <v>0</v>
      </c>
      <c r="I8" s="5"/>
    </row>
    <row r="9" spans="2:16" s="11" customFormat="1" x14ac:dyDescent="0.25">
      <c r="B9" s="20" t="s">
        <v>114</v>
      </c>
      <c r="C9" s="20" t="s">
        <v>115</v>
      </c>
      <c r="D9" s="20" t="s">
        <v>116</v>
      </c>
      <c r="E9" s="20" t="s">
        <v>123</v>
      </c>
      <c r="F9" s="101" t="s">
        <v>129</v>
      </c>
      <c r="G9" s="102"/>
      <c r="H9" s="104" t="str">
        <f>N9</f>
        <v>Efficiency Variance</v>
      </c>
      <c r="I9" s="102"/>
      <c r="J9" s="101" t="s">
        <v>78</v>
      </c>
      <c r="K9" s="101" t="s">
        <v>83</v>
      </c>
      <c r="L9" s="101" t="s">
        <v>106</v>
      </c>
      <c r="M9" s="101" t="s">
        <v>107</v>
      </c>
      <c r="N9" s="101" t="s">
        <v>65</v>
      </c>
    </row>
    <row r="10" spans="2:16" x14ac:dyDescent="0.25">
      <c r="B10" t="s">
        <v>24</v>
      </c>
      <c r="C10" t="s">
        <v>113</v>
      </c>
      <c r="D10" t="s">
        <v>118</v>
      </c>
      <c r="E10" t="s">
        <v>45</v>
      </c>
      <c r="F10" s="99" t="s">
        <v>79</v>
      </c>
      <c r="G10" s="99" t="s">
        <v>136</v>
      </c>
      <c r="H10" s="105">
        <f>N10</f>
        <v>-5000</v>
      </c>
      <c r="I10" s="99"/>
      <c r="J10" s="107">
        <v>56000</v>
      </c>
      <c r="K10" s="107">
        <v>55000</v>
      </c>
      <c r="L10" s="107">
        <f>J10-K10</f>
        <v>1000</v>
      </c>
      <c r="M10" s="108">
        <v>5</v>
      </c>
      <c r="N10" s="109">
        <f>-L10*M10</f>
        <v>-5000</v>
      </c>
      <c r="O10" s="36"/>
    </row>
    <row r="11" spans="2:16" x14ac:dyDescent="0.25">
      <c r="B11" t="s">
        <v>26</v>
      </c>
      <c r="C11" t="s">
        <v>113</v>
      </c>
      <c r="D11" t="s">
        <v>118</v>
      </c>
      <c r="E11" t="s">
        <v>45</v>
      </c>
      <c r="F11" s="99" t="s">
        <v>80</v>
      </c>
      <c r="G11" s="99" t="s">
        <v>136</v>
      </c>
      <c r="H11" s="105">
        <f>N11</f>
        <v>-3000</v>
      </c>
      <c r="I11" s="99"/>
      <c r="J11" s="107">
        <v>23000</v>
      </c>
      <c r="K11" s="107">
        <v>22500</v>
      </c>
      <c r="L11" s="107">
        <f>J11-K11</f>
        <v>500</v>
      </c>
      <c r="M11" s="108">
        <v>6</v>
      </c>
      <c r="N11" s="109">
        <f>-L11*M11</f>
        <v>-3000</v>
      </c>
      <c r="O11" s="36"/>
    </row>
    <row r="12" spans="2:16" x14ac:dyDescent="0.25">
      <c r="B12" t="s">
        <v>24</v>
      </c>
      <c r="C12" t="s">
        <v>36</v>
      </c>
      <c r="D12" t="s">
        <v>118</v>
      </c>
      <c r="E12" t="s">
        <v>122</v>
      </c>
      <c r="F12" s="99" t="s">
        <v>81</v>
      </c>
      <c r="G12" s="99" t="s">
        <v>136</v>
      </c>
      <c r="H12" s="105">
        <f>N12</f>
        <v>-800.00000000000364</v>
      </c>
      <c r="I12" s="99"/>
      <c r="J12" s="107">
        <f>9300</f>
        <v>9300</v>
      </c>
      <c r="K12" s="107">
        <f>55000*1/6</f>
        <v>9166.6666666666661</v>
      </c>
      <c r="L12" s="107">
        <f>J12-K12</f>
        <v>133.33333333333394</v>
      </c>
      <c r="M12" s="108">
        <v>6</v>
      </c>
      <c r="N12" s="109">
        <f>-L12*M12</f>
        <v>-800.00000000000364</v>
      </c>
    </row>
    <row r="13" spans="2:16" x14ac:dyDescent="0.25">
      <c r="B13" t="s">
        <v>26</v>
      </c>
      <c r="C13" t="s">
        <v>36</v>
      </c>
      <c r="D13" t="s">
        <v>118</v>
      </c>
      <c r="E13" t="s">
        <v>122</v>
      </c>
      <c r="F13" s="99" t="s">
        <v>82</v>
      </c>
      <c r="G13" s="99" t="s">
        <v>136</v>
      </c>
      <c r="H13" s="105">
        <f>N13</f>
        <v>200</v>
      </c>
      <c r="I13" s="99"/>
      <c r="J13" s="107">
        <f>5600</f>
        <v>5600</v>
      </c>
      <c r="K13" s="107">
        <f>22500/4</f>
        <v>5625</v>
      </c>
      <c r="L13" s="107">
        <f>J13-K13</f>
        <v>-25</v>
      </c>
      <c r="M13" s="108">
        <v>8</v>
      </c>
      <c r="N13" s="109">
        <f>-L13*M13</f>
        <v>200</v>
      </c>
    </row>
    <row r="14" spans="2:16" x14ac:dyDescent="0.25">
      <c r="B14" t="s">
        <v>24</v>
      </c>
      <c r="C14" s="88" t="s">
        <v>127</v>
      </c>
      <c r="D14" t="s">
        <v>118</v>
      </c>
      <c r="F14" s="99" t="s">
        <v>119</v>
      </c>
      <c r="G14" s="99" t="s">
        <v>136</v>
      </c>
      <c r="H14" s="105">
        <f>N14</f>
        <v>-1600.0000000000073</v>
      </c>
      <c r="I14" s="99"/>
      <c r="J14" s="107">
        <f>J12</f>
        <v>9300</v>
      </c>
      <c r="K14" s="110">
        <f>K12</f>
        <v>9166.6666666666661</v>
      </c>
      <c r="L14" s="107">
        <f>J14-K14</f>
        <v>133.33333333333394</v>
      </c>
      <c r="M14" s="108">
        <v>12</v>
      </c>
      <c r="N14" s="109">
        <f>-L14*M14</f>
        <v>-1600.0000000000073</v>
      </c>
    </row>
    <row r="15" spans="2:16" x14ac:dyDescent="0.25">
      <c r="B15" t="s">
        <v>26</v>
      </c>
      <c r="C15" s="88" t="s">
        <v>127</v>
      </c>
      <c r="D15" t="s">
        <v>118</v>
      </c>
      <c r="F15" s="99" t="s">
        <v>120</v>
      </c>
      <c r="G15" s="99" t="s">
        <v>136</v>
      </c>
      <c r="H15" s="105">
        <f>N15</f>
        <v>200</v>
      </c>
      <c r="I15" s="99"/>
      <c r="J15" s="107">
        <f>J13</f>
        <v>5600</v>
      </c>
      <c r="K15" s="110">
        <f>K13</f>
        <v>5625</v>
      </c>
      <c r="L15" s="107">
        <f>J15-K15</f>
        <v>-25</v>
      </c>
      <c r="M15" s="108">
        <v>8</v>
      </c>
      <c r="N15" s="109">
        <f>-L15*M15</f>
        <v>200</v>
      </c>
    </row>
    <row r="16" spans="2:16" x14ac:dyDescent="0.25">
      <c r="B16" s="5" t="s">
        <v>143</v>
      </c>
      <c r="C16" s="87"/>
      <c r="D16" s="87"/>
      <c r="E16" s="87"/>
      <c r="G16" t="s">
        <v>136</v>
      </c>
      <c r="H16" s="82">
        <f>N16</f>
        <v>0</v>
      </c>
      <c r="K16" s="56"/>
      <c r="L16" s="18"/>
      <c r="M16" s="57"/>
      <c r="N16" s="58"/>
    </row>
    <row r="17" spans="2:15" s="20" customFormat="1" ht="30" x14ac:dyDescent="0.25">
      <c r="B17" s="20" t="s">
        <v>114</v>
      </c>
      <c r="C17" s="20" t="s">
        <v>115</v>
      </c>
      <c r="D17" s="20" t="s">
        <v>116</v>
      </c>
      <c r="E17" s="20" t="s">
        <v>123</v>
      </c>
      <c r="F17" s="101" t="s">
        <v>129</v>
      </c>
      <c r="G17" s="101" t="s">
        <v>136</v>
      </c>
      <c r="H17" s="115" t="str">
        <f>N17</f>
        <v>Spending Variance</v>
      </c>
      <c r="I17" s="101"/>
      <c r="J17" s="101" t="s">
        <v>108</v>
      </c>
      <c r="K17" s="116" t="s">
        <v>109</v>
      </c>
      <c r="L17" s="117" t="s">
        <v>110</v>
      </c>
      <c r="M17" s="118" t="s">
        <v>111</v>
      </c>
      <c r="N17" s="119" t="s">
        <v>112</v>
      </c>
    </row>
    <row r="18" spans="2:15" x14ac:dyDescent="0.25">
      <c r="B18" t="s">
        <v>24</v>
      </c>
      <c r="C18" s="88" t="s">
        <v>127</v>
      </c>
      <c r="D18" t="s">
        <v>141</v>
      </c>
      <c r="E18" t="s">
        <v>45</v>
      </c>
      <c r="F18" s="111" t="s">
        <v>1</v>
      </c>
      <c r="G18" s="99" t="s">
        <v>136</v>
      </c>
      <c r="H18" s="105">
        <f>N18</f>
        <v>-399.99999999999966</v>
      </c>
      <c r="I18" s="111"/>
      <c r="J18" s="99">
        <f>43000+50000+19000</f>
        <v>112000</v>
      </c>
      <c r="K18" s="112">
        <f>J18/J12</f>
        <v>12.043010752688172</v>
      </c>
      <c r="L18" s="107">
        <v>12</v>
      </c>
      <c r="M18" s="108">
        <f>L18-K18</f>
        <v>-4.3010752688172005E-2</v>
      </c>
      <c r="N18" s="109">
        <f>M18*J12</f>
        <v>-399.99999999999966</v>
      </c>
    </row>
    <row r="19" spans="2:15" x14ac:dyDescent="0.25">
      <c r="B19" t="s">
        <v>26</v>
      </c>
      <c r="C19" s="88" t="s">
        <v>127</v>
      </c>
      <c r="D19" t="s">
        <v>141</v>
      </c>
      <c r="E19" t="s">
        <v>45</v>
      </c>
      <c r="F19" s="113" t="s">
        <v>2</v>
      </c>
      <c r="G19" s="99" t="s">
        <v>136</v>
      </c>
      <c r="H19" s="105">
        <f>N19</f>
        <v>-200.00000000000426</v>
      </c>
      <c r="I19" s="113"/>
      <c r="J19" s="99">
        <f>18000+15000+12000</f>
        <v>45000</v>
      </c>
      <c r="K19" s="112">
        <f>J19/J13</f>
        <v>8.0357142857142865</v>
      </c>
      <c r="L19" s="107">
        <v>8</v>
      </c>
      <c r="M19" s="108">
        <f>L19-K19</f>
        <v>-3.5714285714286476E-2</v>
      </c>
      <c r="N19" s="109">
        <f>M19*J13</f>
        <v>-200.00000000000426</v>
      </c>
    </row>
    <row r="20" spans="2:15" x14ac:dyDescent="0.25">
      <c r="B20" s="5" t="s">
        <v>144</v>
      </c>
      <c r="G20" t="s">
        <v>136</v>
      </c>
      <c r="H20" s="82">
        <f>N20</f>
        <v>0</v>
      </c>
    </row>
    <row r="21" spans="2:15" s="20" customFormat="1" x14ac:dyDescent="0.25">
      <c r="B21" s="20" t="s">
        <v>114</v>
      </c>
      <c r="C21" s="20" t="s">
        <v>115</v>
      </c>
      <c r="D21" s="20" t="s">
        <v>116</v>
      </c>
      <c r="E21" s="20" t="s">
        <v>123</v>
      </c>
      <c r="F21" s="101" t="s">
        <v>129</v>
      </c>
      <c r="G21" s="101" t="s">
        <v>136</v>
      </c>
      <c r="H21" s="115" t="str">
        <f>L21</f>
        <v>Variance</v>
      </c>
      <c r="I21" s="101"/>
      <c r="J21" s="101" t="s">
        <v>3</v>
      </c>
      <c r="K21" s="101" t="s">
        <v>33</v>
      </c>
      <c r="L21" s="101" t="s">
        <v>25</v>
      </c>
    </row>
    <row r="22" spans="2:15" x14ac:dyDescent="0.25">
      <c r="B22" t="s">
        <v>24</v>
      </c>
      <c r="C22" t="s">
        <v>126</v>
      </c>
      <c r="D22" t="s">
        <v>141</v>
      </c>
      <c r="F22" s="99" t="s">
        <v>150</v>
      </c>
      <c r="G22" s="99" t="s">
        <v>136</v>
      </c>
      <c r="H22" s="105">
        <f>L22</f>
        <v>-600</v>
      </c>
      <c r="I22" s="99"/>
      <c r="J22" s="100">
        <f>(14+12+1.9)*1000</f>
        <v>27900</v>
      </c>
      <c r="K22" s="100">
        <f>27300</f>
        <v>27300</v>
      </c>
      <c r="L22" s="114">
        <f>K22-J22</f>
        <v>-600</v>
      </c>
      <c r="M22" s="4"/>
    </row>
    <row r="23" spans="2:15" x14ac:dyDescent="0.25">
      <c r="B23" t="s">
        <v>26</v>
      </c>
      <c r="C23" t="s">
        <v>126</v>
      </c>
      <c r="D23" t="s">
        <v>141</v>
      </c>
      <c r="F23" s="99" t="s">
        <v>151</v>
      </c>
      <c r="G23" s="99" t="s">
        <v>136</v>
      </c>
      <c r="H23" s="105">
        <f>L23</f>
        <v>-600</v>
      </c>
      <c r="I23" s="99"/>
      <c r="J23" s="100">
        <f>11000+9000+1300</f>
        <v>21300</v>
      </c>
      <c r="K23" s="100">
        <v>20700</v>
      </c>
      <c r="L23" s="114">
        <f>K23-J23</f>
        <v>-600</v>
      </c>
      <c r="M23" s="4"/>
    </row>
    <row r="24" spans="2:15" x14ac:dyDescent="0.25">
      <c r="G24" t="s">
        <v>136</v>
      </c>
      <c r="H24" s="82">
        <f>N24</f>
        <v>0</v>
      </c>
      <c r="J24" s="4"/>
      <c r="K24" s="38"/>
      <c r="L24" s="78"/>
      <c r="M24" s="4"/>
      <c r="N24" s="4"/>
    </row>
    <row r="25" spans="2:15" x14ac:dyDescent="0.25">
      <c r="G25" t="s">
        <v>136</v>
      </c>
      <c r="H25" s="82">
        <f>N25</f>
        <v>0</v>
      </c>
      <c r="J25" s="4"/>
      <c r="K25" s="4"/>
      <c r="L25" s="4"/>
      <c r="M25" s="4"/>
      <c r="N25" s="4"/>
      <c r="O25" s="4"/>
    </row>
  </sheetData>
  <conditionalFormatting sqref="N10:N13 N4:N6">
    <cfRule type="cellIs" dxfId="10" priority="10" operator="greaterThan">
      <formula>0</formula>
    </cfRule>
    <cfRule type="cellIs" dxfId="9" priority="11" operator="lessThan">
      <formula>0</formula>
    </cfRule>
  </conditionalFormatting>
  <conditionalFormatting sqref="N7">
    <cfRule type="cellIs" dxfId="8" priority="4" operator="greaterThan">
      <formula>0</formula>
    </cfRule>
    <cfRule type="cellIs" dxfId="7" priority="5" operator="lessThan">
      <formula>0</formula>
    </cfRule>
  </conditionalFormatting>
  <conditionalFormatting sqref="L22:L23">
    <cfRule type="cellIs" dxfId="6" priority="3" operator="lessThan">
      <formula>0</formula>
    </cfRule>
  </conditionalFormatting>
  <conditionalFormatting sqref="N18:N19 N14:N15">
    <cfRule type="cellIs" dxfId="5" priority="2" operator="greaterThan">
      <formula>0</formula>
    </cfRule>
  </conditionalFormatting>
  <conditionalFormatting sqref="N18:N19 N14:N15">
    <cfRule type="cellIs" dxfId="4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workbookViewId="0">
      <selection activeCell="E16" sqref="E16"/>
    </sheetView>
  </sheetViews>
  <sheetFormatPr defaultRowHeight="15" x14ac:dyDescent="0.25"/>
  <cols>
    <col min="3" max="3" width="0" hidden="1" customWidth="1"/>
    <col min="4" max="4" width="13.140625" customWidth="1"/>
    <col min="5" max="5" width="19.85546875" bestFit="1" customWidth="1"/>
    <col min="6" max="6" width="12.140625" customWidth="1"/>
    <col min="7" max="9" width="13.140625" customWidth="1"/>
  </cols>
  <sheetData>
    <row r="1" spans="2:9" x14ac:dyDescent="0.25">
      <c r="B1" s="5" t="s">
        <v>145</v>
      </c>
    </row>
    <row r="3" spans="2:9" x14ac:dyDescent="0.25">
      <c r="B3" s="5" t="s">
        <v>147</v>
      </c>
    </row>
    <row r="4" spans="2:9" s="5" customFormat="1" x14ac:dyDescent="0.25">
      <c r="B4" s="97" t="s">
        <v>114</v>
      </c>
      <c r="C4" s="97" t="s">
        <v>136</v>
      </c>
      <c r="D4" s="98" t="str">
        <f>I4</f>
        <v>Var</v>
      </c>
      <c r="E4" s="97" t="s">
        <v>137</v>
      </c>
      <c r="F4" s="97" t="s">
        <v>138</v>
      </c>
      <c r="G4" s="97" t="s">
        <v>139</v>
      </c>
      <c r="H4" s="97" t="s">
        <v>148</v>
      </c>
      <c r="I4" s="97" t="s">
        <v>140</v>
      </c>
    </row>
    <row r="5" spans="2:9" x14ac:dyDescent="0.25">
      <c r="B5" s="99" t="s">
        <v>24</v>
      </c>
      <c r="C5" s="99" t="s">
        <v>136</v>
      </c>
      <c r="D5" s="100">
        <f>I5</f>
        <v>-40000</v>
      </c>
      <c r="E5" s="100">
        <v>55000</v>
      </c>
      <c r="F5" s="100">
        <v>60000</v>
      </c>
      <c r="G5" s="100">
        <f>F5-E5</f>
        <v>5000</v>
      </c>
      <c r="H5" s="105">
        <f>8</f>
        <v>8</v>
      </c>
      <c r="I5" s="100">
        <f>-G5*H5</f>
        <v>-40000</v>
      </c>
    </row>
    <row r="6" spans="2:9" x14ac:dyDescent="0.25">
      <c r="B6" s="99" t="s">
        <v>26</v>
      </c>
      <c r="C6" s="99" t="s">
        <v>136</v>
      </c>
      <c r="D6" s="100">
        <f>I6</f>
        <v>25000</v>
      </c>
      <c r="E6" s="100">
        <v>22500</v>
      </c>
      <c r="F6" s="100">
        <v>20000</v>
      </c>
      <c r="G6" s="100">
        <f>F6-E6</f>
        <v>-2500</v>
      </c>
      <c r="H6" s="105">
        <v>10</v>
      </c>
      <c r="I6" s="100">
        <f>-G6*H6</f>
        <v>25000</v>
      </c>
    </row>
    <row r="7" spans="2:9" x14ac:dyDescent="0.25">
      <c r="C7" s="4"/>
      <c r="D7" s="4"/>
    </row>
    <row r="8" spans="2:9" x14ac:dyDescent="0.25">
      <c r="B8" s="84" t="s">
        <v>146</v>
      </c>
      <c r="D8" s="82"/>
      <c r="E8" s="11"/>
      <c r="F8" s="11"/>
      <c r="G8" s="11"/>
      <c r="H8" s="11"/>
      <c r="I8" s="11"/>
    </row>
    <row r="9" spans="2:9" s="5" customFormat="1" ht="30" x14ac:dyDescent="0.25">
      <c r="B9" s="97" t="s">
        <v>114</v>
      </c>
      <c r="C9" s="97" t="s">
        <v>135</v>
      </c>
      <c r="D9" s="98" t="str">
        <f>I9</f>
        <v>Cost of new Inventory</v>
      </c>
      <c r="E9" s="101" t="s">
        <v>100</v>
      </c>
      <c r="F9" s="101" t="s">
        <v>101</v>
      </c>
      <c r="G9" s="101" t="s">
        <v>102</v>
      </c>
      <c r="H9" s="101" t="s">
        <v>149</v>
      </c>
      <c r="I9" s="101" t="s">
        <v>103</v>
      </c>
    </row>
    <row r="10" spans="2:9" x14ac:dyDescent="0.25">
      <c r="B10" s="102" t="s">
        <v>24</v>
      </c>
      <c r="C10" s="99" t="s">
        <v>135</v>
      </c>
      <c r="D10" s="100">
        <f>I10</f>
        <v>22600</v>
      </c>
      <c r="E10" s="103">
        <v>56000</v>
      </c>
      <c r="F10" s="103">
        <v>60000</v>
      </c>
      <c r="G10" s="103">
        <f>F10-E10</f>
        <v>4000</v>
      </c>
      <c r="H10" s="104">
        <v>5.65</v>
      </c>
      <c r="I10" s="103">
        <f>G10*H10</f>
        <v>22600</v>
      </c>
    </row>
    <row r="11" spans="2:9" x14ac:dyDescent="0.25">
      <c r="B11" s="102" t="s">
        <v>26</v>
      </c>
      <c r="C11" s="99" t="s">
        <v>135</v>
      </c>
      <c r="D11" s="100">
        <f>I11</f>
        <v>42000</v>
      </c>
      <c r="E11" s="103">
        <v>23000</v>
      </c>
      <c r="F11" s="103">
        <v>30000</v>
      </c>
      <c r="G11" s="103">
        <f>F11-E11</f>
        <v>7000</v>
      </c>
      <c r="H11" s="104">
        <v>6</v>
      </c>
      <c r="I11" s="103">
        <f>G11*H11</f>
        <v>42000</v>
      </c>
    </row>
  </sheetData>
  <conditionalFormatting sqref="I10:I11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I5:I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7"/>
  <sheetViews>
    <sheetView topLeftCell="A5" workbookViewId="0">
      <selection activeCell="J34" sqref="J34"/>
    </sheetView>
  </sheetViews>
  <sheetFormatPr defaultRowHeight="15" x14ac:dyDescent="0.25"/>
  <cols>
    <col min="2" max="2" width="4.140625" customWidth="1"/>
    <col min="3" max="3" width="33.7109375" customWidth="1"/>
    <col min="4" max="6" width="12.5703125" bestFit="1" customWidth="1"/>
  </cols>
  <sheetData>
    <row r="3" spans="2:6" ht="45" x14ac:dyDescent="0.25">
      <c r="B3" t="s">
        <v>0</v>
      </c>
      <c r="D3" t="s">
        <v>3</v>
      </c>
      <c r="E3" t="s">
        <v>4</v>
      </c>
      <c r="F3" s="11" t="s">
        <v>19</v>
      </c>
    </row>
    <row r="4" spans="2:6" x14ac:dyDescent="0.25">
      <c r="B4" t="s">
        <v>27</v>
      </c>
    </row>
    <row r="5" spans="2:6" x14ac:dyDescent="0.25">
      <c r="C5" t="s">
        <v>1</v>
      </c>
      <c r="D5" s="12">
        <v>60000</v>
      </c>
      <c r="E5" s="12">
        <v>50000</v>
      </c>
      <c r="F5" s="12">
        <f>D5-E5</f>
        <v>10000</v>
      </c>
    </row>
    <row r="6" spans="2:6" x14ac:dyDescent="0.25">
      <c r="C6" t="s">
        <v>2</v>
      </c>
      <c r="D6" s="12">
        <v>20000</v>
      </c>
      <c r="E6" s="12">
        <v>25000</v>
      </c>
      <c r="F6" s="12">
        <f>D6-E6</f>
        <v>-5000</v>
      </c>
    </row>
    <row r="7" spans="2:6" x14ac:dyDescent="0.25">
      <c r="D7" s="4"/>
      <c r="E7" s="4"/>
      <c r="F7" s="4"/>
    </row>
    <row r="8" spans="2:6" x14ac:dyDescent="0.25">
      <c r="B8" t="s">
        <v>5</v>
      </c>
      <c r="D8" s="4"/>
      <c r="E8" s="4"/>
      <c r="F8" s="4"/>
    </row>
    <row r="9" spans="2:6" x14ac:dyDescent="0.25">
      <c r="C9" t="s">
        <v>1</v>
      </c>
      <c r="D9" s="4">
        <v>630000</v>
      </c>
      <c r="E9" s="4">
        <v>500000</v>
      </c>
      <c r="F9" s="4">
        <f>D9-E9</f>
        <v>130000</v>
      </c>
    </row>
    <row r="10" spans="2:6" x14ac:dyDescent="0.25">
      <c r="B10" s="1"/>
      <c r="C10" s="1" t="s">
        <v>2</v>
      </c>
      <c r="D10" s="4">
        <v>300000</v>
      </c>
      <c r="E10" s="4">
        <v>375000</v>
      </c>
      <c r="F10" s="4">
        <f>D10-E10</f>
        <v>-75000</v>
      </c>
    </row>
    <row r="11" spans="2:6" x14ac:dyDescent="0.25">
      <c r="B11" s="9" t="s">
        <v>6</v>
      </c>
      <c r="C11" s="9"/>
      <c r="D11" s="10">
        <f>SUM(D9:D10)</f>
        <v>930000</v>
      </c>
      <c r="E11" s="10">
        <f t="shared" ref="E11" si="0">SUM(E9:E10)</f>
        <v>875000</v>
      </c>
      <c r="F11" s="10">
        <f>D11-E11</f>
        <v>55000</v>
      </c>
    </row>
    <row r="12" spans="2:6" x14ac:dyDescent="0.25">
      <c r="D12" s="4"/>
      <c r="E12" s="4"/>
      <c r="F12" s="4"/>
    </row>
    <row r="13" spans="2:6" x14ac:dyDescent="0.25">
      <c r="B13" t="s">
        <v>28</v>
      </c>
      <c r="D13" s="4"/>
      <c r="E13" s="4"/>
      <c r="F13" s="4"/>
    </row>
    <row r="14" spans="2:6" x14ac:dyDescent="0.25">
      <c r="C14" t="s">
        <v>7</v>
      </c>
      <c r="D14" s="4">
        <v>480000</v>
      </c>
      <c r="E14" s="4">
        <v>400000</v>
      </c>
      <c r="F14" s="4">
        <f>E14-D14</f>
        <v>-80000</v>
      </c>
    </row>
    <row r="15" spans="2:6" x14ac:dyDescent="0.25">
      <c r="C15" t="s">
        <v>8</v>
      </c>
      <c r="D15" s="4">
        <v>200000</v>
      </c>
      <c r="E15" s="4">
        <v>250000</v>
      </c>
      <c r="F15" s="4">
        <f>E15-D15</f>
        <v>50000</v>
      </c>
    </row>
    <row r="16" spans="2:6" x14ac:dyDescent="0.25">
      <c r="D16" s="4"/>
      <c r="E16" s="4"/>
      <c r="F16" s="4"/>
    </row>
    <row r="17" spans="2:6" ht="3.75" customHeight="1" x14ac:dyDescent="0.25">
      <c r="D17" s="4"/>
      <c r="E17" s="4"/>
      <c r="F17" s="4"/>
    </row>
    <row r="18" spans="2:6" x14ac:dyDescent="0.25">
      <c r="B18" t="s">
        <v>29</v>
      </c>
      <c r="D18" s="4"/>
      <c r="E18" s="4"/>
      <c r="F18" s="4"/>
    </row>
    <row r="19" spans="2:6" x14ac:dyDescent="0.25">
      <c r="B19" s="1"/>
      <c r="C19" s="1" t="s">
        <v>9</v>
      </c>
      <c r="D19" s="4">
        <v>46500</v>
      </c>
      <c r="E19" s="4">
        <v>43750</v>
      </c>
      <c r="F19" s="4">
        <f>E19-D19</f>
        <v>-2750</v>
      </c>
    </row>
    <row r="20" spans="2:6" x14ac:dyDescent="0.25">
      <c r="B20" s="2"/>
      <c r="C20" s="2" t="s">
        <v>10</v>
      </c>
      <c r="D20" s="7">
        <v>9300</v>
      </c>
      <c r="E20" s="7">
        <v>8750</v>
      </c>
      <c r="F20" s="7">
        <f>E20-D20</f>
        <v>-550</v>
      </c>
    </row>
    <row r="21" spans="2:6" x14ac:dyDescent="0.25">
      <c r="B21" s="1" t="s">
        <v>30</v>
      </c>
      <c r="C21" s="1"/>
      <c r="D21" s="4">
        <f>SUM(D19:D20)</f>
        <v>55800</v>
      </c>
      <c r="E21" s="4">
        <f>SUM(E19:E20)</f>
        <v>52500</v>
      </c>
      <c r="F21" s="4">
        <f>E21-D21</f>
        <v>-3300</v>
      </c>
    </row>
    <row r="22" spans="2:6" x14ac:dyDescent="0.25">
      <c r="B22" s="1"/>
      <c r="C22" s="1"/>
      <c r="D22" s="4"/>
      <c r="E22" s="4"/>
      <c r="F22" s="4"/>
    </row>
    <row r="23" spans="2:6" x14ac:dyDescent="0.25">
      <c r="B23" s="9" t="s">
        <v>11</v>
      </c>
      <c r="C23" s="9"/>
      <c r="D23" s="10">
        <f>SUM(D14:D20)</f>
        <v>735800</v>
      </c>
      <c r="E23" s="10">
        <f t="shared" ref="E23" si="1">SUM(E14:E20)</f>
        <v>702500</v>
      </c>
      <c r="F23" s="10">
        <f>E23-D23</f>
        <v>-33300</v>
      </c>
    </row>
    <row r="24" spans="2:6" x14ac:dyDescent="0.25">
      <c r="D24" s="4"/>
      <c r="E24" s="4"/>
      <c r="F24" s="4"/>
    </row>
    <row r="25" spans="2:6" x14ac:dyDescent="0.25">
      <c r="B25" t="s">
        <v>12</v>
      </c>
      <c r="D25" s="4">
        <f>D11-D23</f>
        <v>194200</v>
      </c>
      <c r="E25" s="4">
        <f t="shared" ref="E25" si="2">E11-E23</f>
        <v>172500</v>
      </c>
      <c r="F25" s="4">
        <f>D25-E25</f>
        <v>21700</v>
      </c>
    </row>
    <row r="26" spans="2:6" x14ac:dyDescent="0.25">
      <c r="D26" s="4"/>
      <c r="E26" s="4"/>
      <c r="F26" s="4"/>
    </row>
    <row r="27" spans="2:6" x14ac:dyDescent="0.25">
      <c r="B27" t="s">
        <v>13</v>
      </c>
      <c r="D27" s="4"/>
      <c r="E27" s="4"/>
      <c r="F27" s="4"/>
    </row>
    <row r="28" spans="2:6" x14ac:dyDescent="0.25">
      <c r="C28" t="s">
        <v>18</v>
      </c>
      <c r="D28" s="4">
        <v>49600</v>
      </c>
      <c r="E28" s="4">
        <v>0</v>
      </c>
      <c r="F28" s="4">
        <f>E28-D28</f>
        <v>-49600</v>
      </c>
    </row>
    <row r="29" spans="2:6" x14ac:dyDescent="0.25">
      <c r="C29" t="s">
        <v>31</v>
      </c>
      <c r="D29" s="4">
        <f>14000+12000+1900</f>
        <v>27900</v>
      </c>
      <c r="E29" s="4">
        <f>9100*3</f>
        <v>27300</v>
      </c>
      <c r="F29" s="4">
        <f>E29-D29</f>
        <v>-600</v>
      </c>
    </row>
    <row r="30" spans="2:6" x14ac:dyDescent="0.25">
      <c r="C30" t="s">
        <v>32</v>
      </c>
      <c r="D30" s="4">
        <f>11000+9000+1300</f>
        <v>21300</v>
      </c>
      <c r="E30" s="4">
        <f>6900*3</f>
        <v>20700</v>
      </c>
      <c r="F30" s="4">
        <f>E30-D30</f>
        <v>-600</v>
      </c>
    </row>
    <row r="31" spans="2:6" x14ac:dyDescent="0.25">
      <c r="B31" s="1"/>
      <c r="C31" s="1" t="s">
        <v>14</v>
      </c>
      <c r="D31" s="4">
        <v>38500</v>
      </c>
      <c r="E31" s="4">
        <v>36000</v>
      </c>
      <c r="F31" s="4">
        <f>E31-D31</f>
        <v>-2500</v>
      </c>
    </row>
    <row r="32" spans="2:6" x14ac:dyDescent="0.25">
      <c r="B32" s="1"/>
      <c r="C32" s="1" t="s">
        <v>15</v>
      </c>
      <c r="D32" s="4">
        <v>18500</v>
      </c>
      <c r="E32" s="4">
        <v>17500</v>
      </c>
      <c r="F32" s="4">
        <f>E32-D32</f>
        <v>-1000</v>
      </c>
    </row>
    <row r="33" spans="2:6" x14ac:dyDescent="0.25">
      <c r="B33" s="9" t="s">
        <v>16</v>
      </c>
      <c r="C33" s="9"/>
      <c r="D33" s="10">
        <f>SUM(D28:D32)</f>
        <v>155800</v>
      </c>
      <c r="E33" s="10">
        <f t="shared" ref="E33:F33" si="3">SUM(E28:E32)</f>
        <v>101500</v>
      </c>
      <c r="F33" s="10">
        <f t="shared" si="3"/>
        <v>-54300</v>
      </c>
    </row>
    <row r="34" spans="2:6" x14ac:dyDescent="0.25">
      <c r="D34" s="4"/>
      <c r="E34" s="4"/>
      <c r="F34" s="4"/>
    </row>
    <row r="35" spans="2:6" ht="15.75" thickBot="1" x14ac:dyDescent="0.3">
      <c r="B35" s="3" t="s">
        <v>17</v>
      </c>
      <c r="C35" s="3"/>
      <c r="D35" s="8">
        <f>D25-D33</f>
        <v>38400</v>
      </c>
      <c r="E35" s="8">
        <f>E25-E33</f>
        <v>71000</v>
      </c>
      <c r="F35" s="8">
        <f>D35-E35</f>
        <v>-32600</v>
      </c>
    </row>
    <row r="36" spans="2:6" ht="16.5" thickTop="1" thickBot="1" x14ac:dyDescent="0.3"/>
    <row r="37" spans="2:6" ht="15.75" thickBot="1" x14ac:dyDescent="0.3">
      <c r="D37" s="61" t="s">
        <v>19</v>
      </c>
      <c r="E37" s="62"/>
      <c r="F37" s="63">
        <f>F35</f>
        <v>-32600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6:H9"/>
  <sheetViews>
    <sheetView workbookViewId="0">
      <selection activeCell="H10" sqref="H10"/>
    </sheetView>
  </sheetViews>
  <sheetFormatPr defaultRowHeight="15" x14ac:dyDescent="0.25"/>
  <sheetData>
    <row r="6" spans="7:8" x14ac:dyDescent="0.25">
      <c r="G6" t="s">
        <v>86</v>
      </c>
      <c r="H6" t="s">
        <v>87</v>
      </c>
    </row>
    <row r="7" spans="7:8" x14ac:dyDescent="0.25">
      <c r="G7" t="s">
        <v>70</v>
      </c>
      <c r="H7" t="s">
        <v>88</v>
      </c>
    </row>
    <row r="8" spans="7:8" x14ac:dyDescent="0.25">
      <c r="G8" t="s">
        <v>89</v>
      </c>
      <c r="H8" t="s">
        <v>92</v>
      </c>
    </row>
    <row r="9" spans="7:8" x14ac:dyDescent="0.25">
      <c r="G9" t="s">
        <v>90</v>
      </c>
      <c r="H9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EX1 FLEX  BUD</vt:lpstr>
      <vt:lpstr>EX2 - L2 - EFF. and VOL VAR</vt:lpstr>
      <vt:lpstr>EX3  Pivots</vt:lpstr>
      <vt:lpstr>Ex3 DtL3 - PRICE AND EFFICIENCY</vt:lpstr>
      <vt:lpstr>EX 4</vt:lpstr>
      <vt:lpstr>L1 - STATIC BUDGET</vt:lpstr>
      <vt:lpstr>Contacts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Zeben</dc:creator>
  <cp:lastModifiedBy>zeben</cp:lastModifiedBy>
  <dcterms:created xsi:type="dcterms:W3CDTF">2014-03-07T01:43:01Z</dcterms:created>
  <dcterms:modified xsi:type="dcterms:W3CDTF">2014-03-13T01:56:37Z</dcterms:modified>
</cp:coreProperties>
</file>