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240" windowHeight="7995" activeTab="4"/>
  </bookViews>
  <sheets>
    <sheet name="CHART" sheetId="2" r:id="rId1"/>
    <sheet name="L1 - STATIC BUDGET" sheetId="1" r:id="rId2"/>
    <sheet name="FLEXIBLE BUD_UNIT COSTS" sheetId="4" r:id="rId3"/>
    <sheet name="L2 - EFFICIENCY and VOLUME VAR" sheetId="7" r:id="rId4"/>
    <sheet name="L3 - PRICE AND EFFICIENCY" sheetId="9" r:id="rId5"/>
    <sheet name="New Budget" sheetId="8" r:id="rId6"/>
    <sheet name="Contacts" sheetId="10" r:id="rId7"/>
    <sheet name="DELETE ME" sheetId="6" r:id="rId8"/>
  </sheets>
  <calcPr calcId="145621"/>
</workbook>
</file>

<file path=xl/calcChain.xml><?xml version="1.0" encoding="utf-8"?>
<calcChain xmlns="http://schemas.openxmlformats.org/spreadsheetml/2006/main">
  <c r="H60" i="9" l="1"/>
  <c r="F60" i="9"/>
  <c r="H59" i="9"/>
  <c r="H58" i="9"/>
  <c r="H57" i="9"/>
  <c r="H56" i="9"/>
  <c r="H54" i="9"/>
  <c r="H53" i="9"/>
  <c r="H52" i="9"/>
  <c r="H51" i="9"/>
  <c r="D60" i="9"/>
  <c r="D59" i="9"/>
  <c r="D58" i="9"/>
  <c r="E26" i="9"/>
  <c r="E25" i="9"/>
  <c r="F46" i="9"/>
  <c r="G46" i="9" s="1"/>
  <c r="G76" i="9"/>
  <c r="G75" i="9"/>
  <c r="G74" i="9"/>
  <c r="G73" i="9"/>
  <c r="G72" i="9"/>
  <c r="G64" i="9"/>
  <c r="F45" i="9"/>
  <c r="E45" i="9" s="1"/>
  <c r="F77" i="9"/>
  <c r="G77" i="9" s="1"/>
  <c r="D74" i="9"/>
  <c r="D73" i="9"/>
  <c r="D65" i="9"/>
  <c r="D47" i="9"/>
  <c r="F19" i="9"/>
  <c r="F21" i="9" s="1"/>
  <c r="F18" i="9"/>
  <c r="F20" i="9" s="1"/>
  <c r="E19" i="9"/>
  <c r="E21" i="9" s="1"/>
  <c r="E18" i="9"/>
  <c r="E20" i="9" s="1"/>
  <c r="F10" i="4"/>
  <c r="H32" i="9"/>
  <c r="H31" i="9"/>
  <c r="J32" i="9"/>
  <c r="E32" i="9"/>
  <c r="S32" i="7"/>
  <c r="P12" i="4"/>
  <c r="P11" i="4"/>
  <c r="P10" i="4"/>
  <c r="H10" i="4"/>
  <c r="H11" i="4"/>
  <c r="H12" i="4"/>
  <c r="P19" i="7"/>
  <c r="F4" i="9"/>
  <c r="E28" i="7"/>
  <c r="G14" i="7"/>
  <c r="P13" i="4"/>
  <c r="H13" i="4"/>
  <c r="G11" i="9"/>
  <c r="I11" i="9" s="1"/>
  <c r="G32" i="9" s="1"/>
  <c r="G10" i="9"/>
  <c r="I10" i="9" s="1"/>
  <c r="G31" i="9" s="1"/>
  <c r="G12" i="4"/>
  <c r="G13" i="4"/>
  <c r="G15" i="4"/>
  <c r="G16" i="4"/>
  <c r="G24" i="4"/>
  <c r="G27" i="4" s="1"/>
  <c r="G25" i="4"/>
  <c r="G26" i="4"/>
  <c r="E26" i="4"/>
  <c r="M26" i="4"/>
  <c r="M25" i="4"/>
  <c r="E25" i="4"/>
  <c r="M24" i="4"/>
  <c r="E24" i="4"/>
  <c r="F24" i="4" s="1"/>
  <c r="J16" i="4"/>
  <c r="J15" i="4"/>
  <c r="G21" i="9" l="1"/>
  <c r="I21" i="9" s="1"/>
  <c r="F25" i="9"/>
  <c r="G20" i="9"/>
  <c r="I20" i="9" s="1"/>
  <c r="F26" i="9"/>
  <c r="F36" i="9"/>
  <c r="H36" i="9" s="1"/>
  <c r="F37" i="9"/>
  <c r="H37" i="9" s="1"/>
  <c r="D77" i="9"/>
  <c r="F63" i="9"/>
  <c r="F47" i="9"/>
  <c r="G47" i="9" s="1"/>
  <c r="G45" i="9"/>
  <c r="E46" i="9"/>
  <c r="E47" i="9" s="1"/>
  <c r="G17" i="4"/>
  <c r="G19" i="4" s="1"/>
  <c r="G21" i="4" s="1"/>
  <c r="G32" i="4"/>
  <c r="F12" i="4"/>
  <c r="E37" i="9"/>
  <c r="E36" i="9"/>
  <c r="D53" i="9" s="1"/>
  <c r="D54" i="9" s="1"/>
  <c r="D67" i="9" s="1"/>
  <c r="D69" i="9" s="1"/>
  <c r="H5" i="9"/>
  <c r="I5" i="9" s="1"/>
  <c r="F32" i="9" s="1"/>
  <c r="H4" i="9"/>
  <c r="I4" i="9" s="1"/>
  <c r="G17" i="9"/>
  <c r="I17" i="9" s="1"/>
  <c r="I32" i="9" s="1"/>
  <c r="G16" i="9"/>
  <c r="I16" i="9" s="1"/>
  <c r="I31" i="9" s="1"/>
  <c r="G19" i="9"/>
  <c r="I19" i="9" s="1"/>
  <c r="G18" i="9"/>
  <c r="I18" i="9" s="1"/>
  <c r="D10" i="8"/>
  <c r="D9" i="8"/>
  <c r="E34" i="8"/>
  <c r="D34" i="8"/>
  <c r="E33" i="8"/>
  <c r="E37" i="8" s="1"/>
  <c r="D33" i="8"/>
  <c r="D37" i="8" s="1"/>
  <c r="D29" i="8"/>
  <c r="D39" i="8" s="1"/>
  <c r="E27" i="8"/>
  <c r="D27" i="8"/>
  <c r="E25" i="8"/>
  <c r="D25" i="8"/>
  <c r="E15" i="8"/>
  <c r="E29" i="8" s="1"/>
  <c r="E39" i="8" s="1"/>
  <c r="D15" i="8"/>
  <c r="F6" i="8"/>
  <c r="F5" i="8"/>
  <c r="H6" i="7"/>
  <c r="H5" i="7"/>
  <c r="H28" i="7"/>
  <c r="G32" i="7"/>
  <c r="H32" i="7" s="1"/>
  <c r="G31" i="7"/>
  <c r="E31" i="7" s="1"/>
  <c r="J16" i="7"/>
  <c r="D16" i="7"/>
  <c r="G10" i="7"/>
  <c r="H10" i="7" s="1"/>
  <c r="G9" i="7"/>
  <c r="G11" i="7" s="1"/>
  <c r="G20" i="7" s="1"/>
  <c r="J30" i="7"/>
  <c r="D30" i="7"/>
  <c r="J29" i="7"/>
  <c r="D29" i="7"/>
  <c r="J21" i="7"/>
  <c r="J23" i="7" s="1"/>
  <c r="D21" i="7"/>
  <c r="J11" i="7"/>
  <c r="D11" i="7"/>
  <c r="O26" i="4"/>
  <c r="O25" i="4"/>
  <c r="N25" i="4"/>
  <c r="F25" i="4"/>
  <c r="F26" i="4"/>
  <c r="O15" i="4"/>
  <c r="O24" i="4"/>
  <c r="N24" i="4"/>
  <c r="N15" i="4"/>
  <c r="D79" i="9" l="1"/>
  <c r="G63" i="9"/>
  <c r="F65" i="9"/>
  <c r="F31" i="9"/>
  <c r="E10" i="7"/>
  <c r="E11" i="7"/>
  <c r="G19" i="7"/>
  <c r="E19" i="7" s="1"/>
  <c r="H11" i="7"/>
  <c r="D23" i="7"/>
  <c r="E32" i="7"/>
  <c r="D33" i="7"/>
  <c r="E20" i="7"/>
  <c r="H20" i="7"/>
  <c r="J25" i="7"/>
  <c r="G30" i="7"/>
  <c r="E30" i="7" s="1"/>
  <c r="J33" i="7"/>
  <c r="D25" i="7"/>
  <c r="H31" i="7"/>
  <c r="G21" i="7"/>
  <c r="E21" i="7" s="1"/>
  <c r="H9" i="7"/>
  <c r="G29" i="7"/>
  <c r="E9" i="7"/>
  <c r="I37" i="9"/>
  <c r="I36" i="9"/>
  <c r="F41" i="8"/>
  <c r="G41" i="4"/>
  <c r="O16" i="4"/>
  <c r="Q29" i="6"/>
  <c r="P29" i="6"/>
  <c r="G29" i="6"/>
  <c r="H29" i="6" s="1"/>
  <c r="G27" i="6"/>
  <c r="E27" i="6"/>
  <c r="P26" i="6"/>
  <c r="Q26" i="6" s="1"/>
  <c r="O26" i="6"/>
  <c r="G26" i="6"/>
  <c r="F26" i="6"/>
  <c r="H26" i="6" s="1"/>
  <c r="P25" i="6"/>
  <c r="O25" i="6"/>
  <c r="Q25" i="6" s="1"/>
  <c r="H25" i="6"/>
  <c r="G25" i="6"/>
  <c r="F25" i="6"/>
  <c r="P24" i="6"/>
  <c r="Q24" i="6" s="1"/>
  <c r="O24" i="6"/>
  <c r="G24" i="6"/>
  <c r="F24" i="6"/>
  <c r="F27" i="6" s="1"/>
  <c r="P16" i="6"/>
  <c r="G16" i="6"/>
  <c r="P15" i="6"/>
  <c r="P17" i="6" s="1"/>
  <c r="G15" i="6"/>
  <c r="G17" i="6" s="1"/>
  <c r="E15" i="6"/>
  <c r="F15" i="6" s="1"/>
  <c r="N13" i="6"/>
  <c r="G13" i="6"/>
  <c r="F13" i="6"/>
  <c r="E13" i="6"/>
  <c r="P12" i="6"/>
  <c r="P13" i="6" s="1"/>
  <c r="O12" i="6"/>
  <c r="Q12" i="6" s="1"/>
  <c r="H12" i="6"/>
  <c r="G12" i="6"/>
  <c r="F12" i="6"/>
  <c r="O11" i="6"/>
  <c r="Q11" i="6" s="1"/>
  <c r="F11" i="6"/>
  <c r="H11" i="6" s="1"/>
  <c r="O10" i="6"/>
  <c r="O13" i="6" s="1"/>
  <c r="F10" i="6"/>
  <c r="H10" i="6" s="1"/>
  <c r="Q7" i="6"/>
  <c r="N7" i="6"/>
  <c r="E7" i="6"/>
  <c r="F7" i="6" s="1"/>
  <c r="N10" i="4"/>
  <c r="F11" i="4"/>
  <c r="G65" i="9" l="1"/>
  <c r="F67" i="9"/>
  <c r="D35" i="7"/>
  <c r="H19" i="7"/>
  <c r="E29" i="7"/>
  <c r="G33" i="7"/>
  <c r="E33" i="7" s="1"/>
  <c r="H29" i="7"/>
  <c r="H30" i="7"/>
  <c r="H21" i="7"/>
  <c r="J35" i="7"/>
  <c r="F13" i="4"/>
  <c r="J31" i="9"/>
  <c r="F27" i="4"/>
  <c r="H7" i="6"/>
  <c r="H15" i="6"/>
  <c r="G19" i="6"/>
  <c r="G21" i="6" s="1"/>
  <c r="G31" i="6" s="1"/>
  <c r="H13" i="6"/>
  <c r="P19" i="6"/>
  <c r="P21" i="6" s="1"/>
  <c r="E16" i="6"/>
  <c r="Q10" i="6"/>
  <c r="Q13" i="6" s="1"/>
  <c r="H24" i="6"/>
  <c r="H27" i="6" s="1"/>
  <c r="O27" i="6"/>
  <c r="P27" i="6"/>
  <c r="N15" i="6"/>
  <c r="N16" i="6"/>
  <c r="O16" i="6" s="1"/>
  <c r="Q16" i="6" s="1"/>
  <c r="O30" i="4"/>
  <c r="M13" i="4"/>
  <c r="E13" i="4"/>
  <c r="O12" i="4"/>
  <c r="O13" i="4" s="1"/>
  <c r="N11" i="4"/>
  <c r="N12" i="4"/>
  <c r="N26" i="4"/>
  <c r="E27" i="4"/>
  <c r="M7" i="4"/>
  <c r="E7" i="4"/>
  <c r="E15" i="4" s="1"/>
  <c r="F30" i="1"/>
  <c r="E30" i="1"/>
  <c r="E29" i="1"/>
  <c r="D29" i="1"/>
  <c r="D30" i="1"/>
  <c r="F32" i="1"/>
  <c r="F31" i="1"/>
  <c r="F29" i="1"/>
  <c r="F21" i="1"/>
  <c r="F20" i="1"/>
  <c r="F19" i="1"/>
  <c r="F15" i="1"/>
  <c r="F14" i="1"/>
  <c r="F28" i="1"/>
  <c r="F10" i="1"/>
  <c r="F9" i="1"/>
  <c r="F6" i="1"/>
  <c r="F5" i="1"/>
  <c r="E21" i="1"/>
  <c r="D21" i="1"/>
  <c r="D23" i="1"/>
  <c r="G67" i="9" l="1"/>
  <c r="F69" i="9"/>
  <c r="H33" i="7"/>
  <c r="E16" i="4"/>
  <c r="F7" i="4"/>
  <c r="M16" i="4"/>
  <c r="N16" i="4" s="1"/>
  <c r="N17" i="4" s="1"/>
  <c r="M15" i="4"/>
  <c r="H14" i="7"/>
  <c r="E14" i="7"/>
  <c r="P31" i="6"/>
  <c r="O15" i="6"/>
  <c r="N17" i="6"/>
  <c r="N19" i="6" s="1"/>
  <c r="N21" i="6" s="1"/>
  <c r="E17" i="6"/>
  <c r="E19" i="6" s="1"/>
  <c r="E21" i="6" s="1"/>
  <c r="F16" i="6"/>
  <c r="Q27" i="6"/>
  <c r="O27" i="4"/>
  <c r="N13" i="4"/>
  <c r="G15" i="7" s="1"/>
  <c r="G16" i="7" s="1"/>
  <c r="O17" i="4"/>
  <c r="O19" i="4" s="1"/>
  <c r="O21" i="4" s="1"/>
  <c r="N27" i="4"/>
  <c r="E33" i="1"/>
  <c r="E23" i="1"/>
  <c r="F23" i="1" s="1"/>
  <c r="E11" i="1"/>
  <c r="F11" i="1" s="1"/>
  <c r="D33" i="1"/>
  <c r="D11" i="1"/>
  <c r="F79" i="9" l="1"/>
  <c r="G79" i="9" s="1"/>
  <c r="G69" i="9"/>
  <c r="F15" i="4"/>
  <c r="B15" i="4"/>
  <c r="B16" i="4"/>
  <c r="F16" i="4" s="1"/>
  <c r="F17" i="4" s="1"/>
  <c r="F19" i="4" s="1"/>
  <c r="F21" i="4" s="1"/>
  <c r="F32" i="4" s="1"/>
  <c r="H15" i="7"/>
  <c r="H16" i="7" s="1"/>
  <c r="H23" i="7" s="1"/>
  <c r="E15" i="7"/>
  <c r="M17" i="4"/>
  <c r="M19" i="4" s="1"/>
  <c r="M21" i="4" s="1"/>
  <c r="M34" i="4" s="1"/>
  <c r="E17" i="4"/>
  <c r="E19" i="4" s="1"/>
  <c r="E21" i="4" s="1"/>
  <c r="E34" i="4" s="1"/>
  <c r="E16" i="7"/>
  <c r="G23" i="7"/>
  <c r="Q15" i="6"/>
  <c r="Q17" i="6" s="1"/>
  <c r="O17" i="6"/>
  <c r="O19" i="6" s="1"/>
  <c r="H16" i="6"/>
  <c r="H17" i="6" s="1"/>
  <c r="H19" i="6" s="1"/>
  <c r="H21" i="6" s="1"/>
  <c r="F17" i="6"/>
  <c r="F19" i="6" s="1"/>
  <c r="F21" i="6" s="1"/>
  <c r="F31" i="6" s="1"/>
  <c r="H31" i="6" s="1"/>
  <c r="N19" i="4"/>
  <c r="O32" i="4"/>
  <c r="D25" i="1"/>
  <c r="E25" i="1"/>
  <c r="F25" i="1" s="1"/>
  <c r="F33" i="1"/>
  <c r="E32" i="4" l="1"/>
  <c r="M32" i="4"/>
  <c r="E23" i="7"/>
  <c r="G25" i="7"/>
  <c r="N21" i="4"/>
  <c r="N32" i="4" s="1"/>
  <c r="Q19" i="6"/>
  <c r="O21" i="6"/>
  <c r="E35" i="1"/>
  <c r="D35" i="1"/>
  <c r="C7" i="2" l="1"/>
  <c r="H25" i="7"/>
  <c r="G35" i="7"/>
  <c r="E25" i="7"/>
  <c r="O31" i="6"/>
  <c r="Q31" i="6" s="1"/>
  <c r="Q21" i="6"/>
  <c r="F35" i="1"/>
  <c r="H35" i="7" l="1"/>
  <c r="H38" i="7" s="1"/>
  <c r="E35" i="7"/>
  <c r="E38" i="7" s="1"/>
  <c r="D4" i="2"/>
  <c r="E7" i="2" s="1"/>
  <c r="F37" i="1"/>
  <c r="G41" i="7" l="1"/>
</calcChain>
</file>

<file path=xl/sharedStrings.xml><?xml version="1.0" encoding="utf-8"?>
<sst xmlns="http://schemas.openxmlformats.org/spreadsheetml/2006/main" count="407" uniqueCount="148">
  <si>
    <t>Sales</t>
  </si>
  <si>
    <t>Plastic</t>
  </si>
  <si>
    <t>Metal</t>
  </si>
  <si>
    <t>Actual</t>
  </si>
  <si>
    <t>Budget</t>
  </si>
  <si>
    <t>Sales Revenues</t>
  </si>
  <si>
    <t>Total Sales</t>
  </si>
  <si>
    <t>MFG-Plastic</t>
  </si>
  <si>
    <t>MFG-Metal</t>
  </si>
  <si>
    <t>Commissions</t>
  </si>
  <si>
    <t>AFDA</t>
  </si>
  <si>
    <t>Total Variable Cost</t>
  </si>
  <si>
    <t>Contribution Margin</t>
  </si>
  <si>
    <t>Other Costs</t>
  </si>
  <si>
    <t>Fixed SGA</t>
  </si>
  <si>
    <t>Corporate Office Allocation</t>
  </si>
  <si>
    <t>Total Other Costs</t>
  </si>
  <si>
    <t>Division Operating Income</t>
  </si>
  <si>
    <t>Var. MFG Cost variance from Standard</t>
  </si>
  <si>
    <t>STATIC BUDGET VARIANCE</t>
  </si>
  <si>
    <t>Purchases</t>
  </si>
  <si>
    <t>Price</t>
  </si>
  <si>
    <t>Budgeted/Unit</t>
  </si>
  <si>
    <t>Revenues</t>
  </si>
  <si>
    <t>PLASTIC</t>
  </si>
  <si>
    <t>Variance</t>
  </si>
  <si>
    <t>METAL</t>
  </si>
  <si>
    <t>Volume (Units)</t>
  </si>
  <si>
    <t>Less Manufacturing Variable Costs</t>
  </si>
  <si>
    <t>Selling Variable Costs</t>
  </si>
  <si>
    <t>Total Selling Variable Costs</t>
  </si>
  <si>
    <t>Fixed MFG Costs Plastic</t>
  </si>
  <si>
    <t>Fixed MFG Costs Metal</t>
  </si>
  <si>
    <t>Budgeted</t>
  </si>
  <si>
    <t>Cost Driver</t>
  </si>
  <si>
    <t>Raw Materials</t>
  </si>
  <si>
    <t>DL</t>
  </si>
  <si>
    <t>Mfg Overhead</t>
  </si>
  <si>
    <t>Total Manufacturing Variable Costs</t>
  </si>
  <si>
    <t>Less Materials Purchased but not used</t>
  </si>
  <si>
    <t>Sold</t>
  </si>
  <si>
    <t>Made</t>
  </si>
  <si>
    <t>Flex Budget</t>
  </si>
  <si>
    <t>Results</t>
  </si>
  <si>
    <t>Qty Sold</t>
  </si>
  <si>
    <t>Qty Made</t>
  </si>
  <si>
    <t>FLEXIBLE VARIANCE</t>
  </si>
  <si>
    <t>SALES VOLUIME VARIANCE</t>
  </si>
  <si>
    <t>L1</t>
  </si>
  <si>
    <t>L2</t>
  </si>
  <si>
    <t>Had inventory; didn't need to buy that much</t>
  </si>
  <si>
    <t>Manufacturing</t>
  </si>
  <si>
    <t>Used 56k material to make 55k chairs - $ waste</t>
  </si>
  <si>
    <t>used 23k materials to make 22.5k chairs - maretial waste</t>
  </si>
  <si>
    <t>More DL and OH (Supplies, benefits, power)</t>
  </si>
  <si>
    <t>Almost on target OH + DL</t>
  </si>
  <si>
    <t>Fixed OH (Supervison, dep, taxes)- neg varience. Even though made less than varience, still shitty results (12k unexplained)</t>
  </si>
  <si>
    <t>Smaller U varience for OH, perhaps OH Cost allocation is not accurate?</t>
  </si>
  <si>
    <t>Scaled by price</t>
  </si>
  <si>
    <t>Show pie chats of cost drivers</t>
  </si>
  <si>
    <t>Plastic chairs are not profitable</t>
  </si>
  <si>
    <t>Sold more, less comission,</t>
  </si>
  <si>
    <t>Budget 10</t>
  </si>
  <si>
    <t xml:space="preserve">Actual </t>
  </si>
  <si>
    <t>Undebudgeted sales comission</t>
  </si>
  <si>
    <t>Inventory - Bought too much</t>
  </si>
  <si>
    <t>Presentation</t>
  </si>
  <si>
    <t>Theory of budgets</t>
  </si>
  <si>
    <t>Commissions (0.5% sales)</t>
  </si>
  <si>
    <t>Overpaid in materials</t>
  </si>
  <si>
    <t>Why bought 60k for the quarter since didn't get bulk discount?</t>
  </si>
  <si>
    <t>Flexible Budget</t>
  </si>
  <si>
    <t>Volume Variance</t>
  </si>
  <si>
    <t>Efficiency Variance</t>
  </si>
  <si>
    <t>Commissions (5% sales)</t>
  </si>
  <si>
    <t>AFDA (1% sales)</t>
  </si>
  <si>
    <t>F</t>
  </si>
  <si>
    <t>U</t>
  </si>
  <si>
    <t>Leo</t>
  </si>
  <si>
    <t>How unit costs were calculated - what are the cost drivers</t>
  </si>
  <si>
    <t>Explain how 32k$ of varience came from - show presentation slide</t>
  </si>
  <si>
    <t>Salaes comission based on CM instead of total sales</t>
  </si>
  <si>
    <t>Explain areas of varience (what if analysis if price was increased - sold more than forecast). Important to explain 49k mfg varience, mostly 65 cent difference</t>
  </si>
  <si>
    <t>Recommendations - new pricing? And answer questions</t>
  </si>
  <si>
    <t>Situation analysis (target - losing market share on metal)</t>
  </si>
  <si>
    <t>NEW BUDGET</t>
  </si>
  <si>
    <t>Selling Price</t>
  </si>
  <si>
    <t>Price Variance</t>
  </si>
  <si>
    <t>Plastic Material</t>
  </si>
  <si>
    <t>Budgeted (Actual Input X Budgeted Price</t>
  </si>
  <si>
    <t>Actual Input Used</t>
  </si>
  <si>
    <t>Raw Materials - Plastic</t>
  </si>
  <si>
    <t>Raw Materials - Metal</t>
  </si>
  <si>
    <t>DL - Plastic</t>
  </si>
  <si>
    <t>DL Metal</t>
  </si>
  <si>
    <t>Budgeted Allowed</t>
  </si>
  <si>
    <t>Budgeted Price</t>
  </si>
  <si>
    <t>(Flex Budget Variance) Efficiency Variance</t>
  </si>
  <si>
    <t>MFG OH - Plastic</t>
  </si>
  <si>
    <t>MFG OH - Metal</t>
  </si>
  <si>
    <t>Actual Cost Incurrred</t>
  </si>
  <si>
    <t>Budgeted Rate</t>
  </si>
  <si>
    <t>Budget allowed</t>
  </si>
  <si>
    <t>Actual input (DLH)</t>
  </si>
  <si>
    <t>Variable MFG OH</t>
  </si>
  <si>
    <t>Kenny</t>
  </si>
  <si>
    <t>514 691-2920</t>
  </si>
  <si>
    <t>514 655-4499</t>
  </si>
  <si>
    <t>Mohamed</t>
  </si>
  <si>
    <t>Simon</t>
  </si>
  <si>
    <t>514 573-6173</t>
  </si>
  <si>
    <t>514 769-2375</t>
  </si>
  <si>
    <t>$ Sold</t>
  </si>
  <si>
    <t>CONTRIBUTION MARGING % SALES</t>
  </si>
  <si>
    <t>Total Manufacturing Variable Cost</t>
  </si>
  <si>
    <t>PRICE VARIANCES</t>
  </si>
  <si>
    <t xml:space="preserve">Actual Quantity </t>
  </si>
  <si>
    <t xml:space="preserve">Actual Price </t>
  </si>
  <si>
    <t>Difference in price</t>
  </si>
  <si>
    <t>Actual Cost Incurred</t>
  </si>
  <si>
    <t>STOCK VARIANCE (NOT IN THE BOOK!!!)</t>
  </si>
  <si>
    <t>Quantity Required</t>
  </si>
  <si>
    <t>Quantity Purchased</t>
  </si>
  <si>
    <t>Effect on stock</t>
  </si>
  <si>
    <t>Cost of new Inventory</t>
  </si>
  <si>
    <t>Budgeted Cost / unit</t>
  </si>
  <si>
    <t>EFFICIENCY VARIANCES</t>
  </si>
  <si>
    <t>* $39,000 from paying too much + from Materials, from DL and MFG OH</t>
  </si>
  <si>
    <t>Purchasing</t>
  </si>
  <si>
    <t>TOTAL</t>
  </si>
  <si>
    <t>FROM FLEX BUDGET</t>
  </si>
  <si>
    <t>ANALYSIS - MATERIALS</t>
  </si>
  <si>
    <t>Stock Variance</t>
  </si>
  <si>
    <t>Inventory Management</t>
  </si>
  <si>
    <t>Delta in units</t>
  </si>
  <si>
    <t>Cost per unit</t>
  </si>
  <si>
    <t>Input x Budget Price</t>
  </si>
  <si>
    <t>MFG OH</t>
  </si>
  <si>
    <t>Variable OH Spending Variance</t>
  </si>
  <si>
    <t>Total OH Cost</t>
  </si>
  <si>
    <t>Variable cost per unit</t>
  </si>
  <si>
    <t>Budgeted Variable cost per unit</t>
  </si>
  <si>
    <t>Delta in cost per unit</t>
  </si>
  <si>
    <t>Spending Variance</t>
  </si>
  <si>
    <t>Page 533</t>
  </si>
  <si>
    <t>Variable OH Efficiency Variance (Page 532)</t>
  </si>
  <si>
    <t>Total for Plastic</t>
  </si>
  <si>
    <t>Total for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</si>
</sst>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1" fillId="0" borderId="0" xfId="0" applyFont="1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Font="1" applyBorder="1"/>
    <xf numFmtId="0" fontId="0" fillId="0" borderId="3" xfId="0" applyBorder="1"/>
    <xf numFmtId="44" fontId="0" fillId="0" borderId="3" xfId="0" applyNumberFormat="1" applyFont="1" applyBorder="1"/>
    <xf numFmtId="164" fontId="0" fillId="0" borderId="3" xfId="0" applyNumberFormat="1" applyFont="1" applyBorder="1"/>
    <xf numFmtId="0" fontId="1" fillId="0" borderId="3" xfId="0" applyFont="1" applyBorder="1"/>
    <xf numFmtId="164" fontId="0" fillId="0" borderId="3" xfId="0" applyNumberFormat="1" applyBorder="1"/>
    <xf numFmtId="0" fontId="0" fillId="0" borderId="0" xfId="0" applyAlignment="1">
      <alignment wrapText="1"/>
    </xf>
    <xf numFmtId="37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3" fontId="0" fillId="0" borderId="0" xfId="0" applyNumberFormat="1"/>
    <xf numFmtId="165" fontId="0" fillId="0" borderId="0" xfId="0" applyNumberFormat="1" applyBorder="1"/>
    <xf numFmtId="0" fontId="1" fillId="0" borderId="0" xfId="0" applyFont="1" applyAlignment="1">
      <alignment wrapText="1"/>
    </xf>
    <xf numFmtId="1" fontId="0" fillId="0" borderId="0" xfId="0" applyNumberFormat="1" applyFont="1"/>
    <xf numFmtId="1" fontId="0" fillId="0" borderId="0" xfId="0" applyNumberFormat="1" applyFon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0" xfId="0" applyNumberFormat="1" applyFont="1"/>
    <xf numFmtId="3" fontId="0" fillId="0" borderId="0" xfId="0" applyNumberFormat="1" applyFont="1" applyBorder="1"/>
    <xf numFmtId="3" fontId="0" fillId="0" borderId="1" xfId="0" applyNumberFormat="1" applyFont="1" applyBorder="1"/>
    <xf numFmtId="166" fontId="0" fillId="2" borderId="0" xfId="0" applyNumberFormat="1" applyFill="1" applyBorder="1"/>
    <xf numFmtId="166" fontId="0" fillId="2" borderId="1" xfId="0" applyNumberFormat="1" applyFill="1" applyBorder="1"/>
    <xf numFmtId="166" fontId="0" fillId="2" borderId="0" xfId="0" applyNumberFormat="1" applyFill="1"/>
    <xf numFmtId="0" fontId="0" fillId="0" borderId="0" xfId="0" applyAlignment="1">
      <alignment horizontal="center"/>
    </xf>
    <xf numFmtId="9" fontId="0" fillId="0" borderId="0" xfId="2" applyFont="1"/>
    <xf numFmtId="0" fontId="0" fillId="0" borderId="0" xfId="0" applyFill="1"/>
    <xf numFmtId="3" fontId="0" fillId="0" borderId="0" xfId="0" applyNumberFormat="1" applyFill="1"/>
    <xf numFmtId="0" fontId="0" fillId="0" borderId="0" xfId="0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3" fontId="0" fillId="0" borderId="0" xfId="0" applyNumberFormat="1" applyFont="1" applyFill="1" applyBorder="1"/>
    <xf numFmtId="164" fontId="0" fillId="0" borderId="0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164" fontId="0" fillId="0" borderId="1" xfId="0" applyNumberFormat="1" applyFill="1" applyBorder="1"/>
    <xf numFmtId="0" fontId="0" fillId="0" borderId="3" xfId="0" applyFill="1" applyBorder="1"/>
    <xf numFmtId="0" fontId="1" fillId="0" borderId="3" xfId="0" applyFont="1" applyFill="1" applyBorder="1"/>
    <xf numFmtId="44" fontId="0" fillId="0" borderId="3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3" fontId="0" fillId="0" borderId="0" xfId="0" applyNumberFormat="1" applyFont="1" applyFill="1"/>
    <xf numFmtId="164" fontId="0" fillId="0" borderId="3" xfId="0" applyNumberFormat="1" applyFill="1" applyBorder="1"/>
    <xf numFmtId="0" fontId="0" fillId="0" borderId="0" xfId="0" applyAlignment="1"/>
    <xf numFmtId="1" fontId="0" fillId="0" borderId="0" xfId="0" applyNumberForma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164" fontId="1" fillId="0" borderId="11" xfId="0" applyNumberFormat="1" applyFont="1" applyBorder="1"/>
    <xf numFmtId="37" fontId="0" fillId="0" borderId="3" xfId="0" applyNumberFormat="1" applyBorder="1"/>
    <xf numFmtId="37" fontId="0" fillId="0" borderId="0" xfId="0" applyNumberFormat="1" applyBorder="1"/>
    <xf numFmtId="37" fontId="0" fillId="0" borderId="1" xfId="0" applyNumberFormat="1" applyBorder="1"/>
    <xf numFmtId="37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37" fontId="1" fillId="0" borderId="3" xfId="0" applyNumberFormat="1" applyFont="1" applyBorder="1"/>
    <xf numFmtId="37" fontId="1" fillId="0" borderId="0" xfId="0" applyNumberFormat="1" applyFont="1" applyBorder="1"/>
    <xf numFmtId="37" fontId="1" fillId="0" borderId="1" xfId="0" applyNumberFormat="1" applyFont="1" applyBorder="1"/>
    <xf numFmtId="37" fontId="0" fillId="0" borderId="2" xfId="0" applyNumberFormat="1" applyBorder="1"/>
    <xf numFmtId="37" fontId="1" fillId="0" borderId="2" xfId="0" applyNumberFormat="1" applyFont="1" applyBorder="1"/>
    <xf numFmtId="37" fontId="1" fillId="0" borderId="12" xfId="0" applyNumberFormat="1" applyFont="1" applyBorder="1"/>
    <xf numFmtId="166" fontId="0" fillId="0" borderId="0" xfId="0" applyNumberFormat="1" applyFill="1"/>
    <xf numFmtId="165" fontId="0" fillId="0" borderId="0" xfId="0" applyNumberFormat="1" applyFill="1"/>
    <xf numFmtId="3" fontId="0" fillId="0" borderId="1" xfId="0" applyNumberFormat="1" applyFont="1" applyFill="1" applyBorder="1"/>
    <xf numFmtId="166" fontId="0" fillId="0" borderId="3" xfId="0" applyNumberFormat="1" applyFill="1" applyBorder="1"/>
    <xf numFmtId="165" fontId="0" fillId="0" borderId="3" xfId="0" applyNumberFormat="1" applyFill="1" applyBorder="1"/>
    <xf numFmtId="164" fontId="0" fillId="0" borderId="0" xfId="0" applyNumberFormat="1" applyAlignment="1">
      <alignment horizontal="center"/>
    </xf>
    <xf numFmtId="44" fontId="0" fillId="0" borderId="0" xfId="0" applyNumberFormat="1"/>
    <xf numFmtId="0" fontId="1" fillId="0" borderId="0" xfId="0" applyFont="1" applyFill="1"/>
    <xf numFmtId="0" fontId="1" fillId="0" borderId="0" xfId="0" applyFont="1" applyAlignment="1"/>
    <xf numFmtId="3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1" fillId="0" borderId="0" xfId="0" applyFont="1" applyFill="1" applyAlignment="1">
      <alignment wrapText="1"/>
    </xf>
    <xf numFmtId="3" fontId="0" fillId="0" borderId="0" xfId="0" applyNumberFormat="1" applyBorder="1"/>
    <xf numFmtId="164" fontId="0" fillId="0" borderId="0" xfId="0" applyNumberFormat="1" applyFont="1"/>
    <xf numFmtId="164" fontId="0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'L2 - EFFICIENCY and VOLUME VAR'!$R$29:$R$31</c:f>
              <c:strCache>
                <c:ptCount val="3"/>
                <c:pt idx="0">
                  <c:v>Plastic</c:v>
                </c:pt>
                <c:pt idx="1">
                  <c:v>Metal</c:v>
                </c:pt>
                <c:pt idx="2">
                  <c:v>Purchasing</c:v>
                </c:pt>
              </c:strCache>
            </c:strRef>
          </c:cat>
          <c:val>
            <c:numRef>
              <c:f>'L2 - EFFICIENCY and VOLUME VAR'!$S$29:$S$31</c:f>
              <c:numCache>
                <c:formatCode>General</c:formatCode>
                <c:ptCount val="3"/>
                <c:pt idx="0">
                  <c:v>7800</c:v>
                </c:pt>
                <c:pt idx="1">
                  <c:v>2800</c:v>
                </c:pt>
                <c:pt idx="2">
                  <c:v>39000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35</xdr:row>
      <xdr:rowOff>19050</xdr:rowOff>
    </xdr:from>
    <xdr:to>
      <xdr:col>9</xdr:col>
      <xdr:colOff>476249</xdr:colOff>
      <xdr:row>37</xdr:row>
      <xdr:rowOff>113157</xdr:rowOff>
    </xdr:to>
    <xdr:sp macro="" textlink="">
      <xdr:nvSpPr>
        <xdr:cNvPr id="8" name="Left-Right Arrow 7"/>
        <xdr:cNvSpPr/>
      </xdr:nvSpPr>
      <xdr:spPr>
        <a:xfrm>
          <a:off x="5543549" y="7277100"/>
          <a:ext cx="1971675" cy="48463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SALES</a:t>
          </a:r>
          <a:r>
            <a:rPr lang="en-US" sz="1100" baseline="0"/>
            <a:t> VOLUME </a:t>
          </a:r>
          <a:r>
            <a:rPr lang="en-US" sz="1100"/>
            <a:t>VARIANCE</a:t>
          </a:r>
        </a:p>
      </xdr:txBody>
    </xdr:sp>
    <xdr:clientData/>
  </xdr:twoCellAnchor>
  <xdr:twoCellAnchor>
    <xdr:from>
      <xdr:col>3</xdr:col>
      <xdr:colOff>428624</xdr:colOff>
      <xdr:row>35</xdr:row>
      <xdr:rowOff>38100</xdr:rowOff>
    </xdr:from>
    <xdr:to>
      <xdr:col>6</xdr:col>
      <xdr:colOff>447674</xdr:colOff>
      <xdr:row>37</xdr:row>
      <xdr:rowOff>132207</xdr:rowOff>
    </xdr:to>
    <xdr:sp macro="" textlink="">
      <xdr:nvSpPr>
        <xdr:cNvPr id="9" name="Left-Right Arrow 8"/>
        <xdr:cNvSpPr/>
      </xdr:nvSpPr>
      <xdr:spPr>
        <a:xfrm>
          <a:off x="3562349" y="7296150"/>
          <a:ext cx="1971675" cy="48463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FLEX BUDGET VARIANCE</a:t>
          </a:r>
        </a:p>
      </xdr:txBody>
    </xdr:sp>
    <xdr:clientData/>
  </xdr:twoCellAnchor>
  <xdr:twoCellAnchor>
    <xdr:from>
      <xdr:col>3</xdr:col>
      <xdr:colOff>419100</xdr:colOff>
      <xdr:row>37</xdr:row>
      <xdr:rowOff>180975</xdr:rowOff>
    </xdr:from>
    <xdr:to>
      <xdr:col>9</xdr:col>
      <xdr:colOff>485775</xdr:colOff>
      <xdr:row>40</xdr:row>
      <xdr:rowOff>94107</xdr:rowOff>
    </xdr:to>
    <xdr:sp macro="" textlink="">
      <xdr:nvSpPr>
        <xdr:cNvPr id="10" name="Left-Right Arrow 9"/>
        <xdr:cNvSpPr/>
      </xdr:nvSpPr>
      <xdr:spPr>
        <a:xfrm>
          <a:off x="3552825" y="7829550"/>
          <a:ext cx="3971925" cy="48463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STATIC BUDGET VARIANCE</a:t>
          </a:r>
        </a:p>
      </xdr:txBody>
    </xdr:sp>
    <xdr:clientData/>
  </xdr:twoCellAnchor>
  <xdr:twoCellAnchor>
    <xdr:from>
      <xdr:col>13</xdr:col>
      <xdr:colOff>200025</xdr:colOff>
      <xdr:row>28</xdr:row>
      <xdr:rowOff>14287</xdr:rowOff>
    </xdr:from>
    <xdr:to>
      <xdr:col>16</xdr:col>
      <xdr:colOff>133350</xdr:colOff>
      <xdr:row>35</xdr:row>
      <xdr:rowOff>47625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A7" sqref="A7"/>
    </sheetView>
  </sheetViews>
  <sheetFormatPr defaultRowHeight="15" x14ac:dyDescent="0.25"/>
  <cols>
    <col min="3" max="3" width="18.42578125" bestFit="1" customWidth="1"/>
    <col min="4" max="4" width="24.140625" bestFit="1" customWidth="1"/>
    <col min="5" max="5" width="24.42578125" bestFit="1" customWidth="1"/>
  </cols>
  <sheetData>
    <row r="3" spans="1:5" x14ac:dyDescent="0.25">
      <c r="A3" t="s">
        <v>48</v>
      </c>
      <c r="D3" t="s">
        <v>19</v>
      </c>
    </row>
    <row r="4" spans="1:5" x14ac:dyDescent="0.25">
      <c r="D4" s="4">
        <f>'L1 - STATIC BUDGET'!F35</f>
        <v>-32600</v>
      </c>
    </row>
    <row r="6" spans="1:5" x14ac:dyDescent="0.25">
      <c r="A6" t="s">
        <v>49</v>
      </c>
      <c r="C6" t="s">
        <v>46</v>
      </c>
      <c r="E6" t="s">
        <v>47</v>
      </c>
    </row>
    <row r="7" spans="1:5" x14ac:dyDescent="0.25">
      <c r="C7" s="4">
        <f>'FLEXIBLE BUD_UNIT COSTS'!D35</f>
        <v>0</v>
      </c>
      <c r="E7" s="4">
        <f>D4-C7</f>
        <v>-32600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workbookViewId="0">
      <selection activeCell="J34" sqref="J34"/>
    </sheetView>
  </sheetViews>
  <sheetFormatPr defaultRowHeight="15" x14ac:dyDescent="0.25"/>
  <cols>
    <col min="2" max="2" width="4.140625" customWidth="1"/>
    <col min="3" max="3" width="33.7109375" customWidth="1"/>
    <col min="4" max="6" width="12.5703125" bestFit="1" customWidth="1"/>
  </cols>
  <sheetData>
    <row r="3" spans="2:6" ht="45" x14ac:dyDescent="0.25">
      <c r="B3" t="s">
        <v>0</v>
      </c>
      <c r="D3" t="s">
        <v>3</v>
      </c>
      <c r="E3" t="s">
        <v>4</v>
      </c>
      <c r="F3" s="15" t="s">
        <v>19</v>
      </c>
    </row>
    <row r="4" spans="2:6" x14ac:dyDescent="0.25">
      <c r="B4" t="s">
        <v>27</v>
      </c>
    </row>
    <row r="5" spans="2:6" x14ac:dyDescent="0.25">
      <c r="C5" t="s">
        <v>1</v>
      </c>
      <c r="D5" s="16">
        <v>60000</v>
      </c>
      <c r="E5" s="16">
        <v>50000</v>
      </c>
      <c r="F5" s="16">
        <f>D5-E5</f>
        <v>10000</v>
      </c>
    </row>
    <row r="6" spans="2:6" x14ac:dyDescent="0.25">
      <c r="C6" t="s">
        <v>2</v>
      </c>
      <c r="D6" s="16">
        <v>20000</v>
      </c>
      <c r="E6" s="16">
        <v>25000</v>
      </c>
      <c r="F6" s="16">
        <f>D6-E6</f>
        <v>-5000</v>
      </c>
    </row>
    <row r="7" spans="2:6" x14ac:dyDescent="0.25">
      <c r="D7" s="4"/>
      <c r="E7" s="4"/>
      <c r="F7" s="4"/>
    </row>
    <row r="8" spans="2:6" x14ac:dyDescent="0.25">
      <c r="B8" t="s">
        <v>5</v>
      </c>
      <c r="D8" s="4"/>
      <c r="E8" s="4"/>
      <c r="F8" s="4"/>
    </row>
    <row r="9" spans="2:6" x14ac:dyDescent="0.25">
      <c r="C9" t="s">
        <v>1</v>
      </c>
      <c r="D9" s="4">
        <v>630000</v>
      </c>
      <c r="E9" s="4">
        <v>500000</v>
      </c>
      <c r="F9" s="4">
        <f>D9-E9</f>
        <v>130000</v>
      </c>
    </row>
    <row r="10" spans="2:6" x14ac:dyDescent="0.25">
      <c r="B10" s="1"/>
      <c r="C10" s="1" t="s">
        <v>2</v>
      </c>
      <c r="D10" s="4">
        <v>300000</v>
      </c>
      <c r="E10" s="4">
        <v>375000</v>
      </c>
      <c r="F10" s="4">
        <f>D10-E10</f>
        <v>-75000</v>
      </c>
    </row>
    <row r="11" spans="2:6" x14ac:dyDescent="0.25">
      <c r="B11" s="10" t="s">
        <v>6</v>
      </c>
      <c r="C11" s="10"/>
      <c r="D11" s="14">
        <f>SUM(D9:D10)</f>
        <v>930000</v>
      </c>
      <c r="E11" s="14">
        <f t="shared" ref="E11" si="0">SUM(E9:E10)</f>
        <v>875000</v>
      </c>
      <c r="F11" s="14">
        <f>D11-E11</f>
        <v>55000</v>
      </c>
    </row>
    <row r="12" spans="2:6" x14ac:dyDescent="0.25">
      <c r="D12" s="4"/>
      <c r="E12" s="4"/>
      <c r="F12" s="4"/>
    </row>
    <row r="13" spans="2:6" x14ac:dyDescent="0.25">
      <c r="B13" t="s">
        <v>28</v>
      </c>
      <c r="D13" s="4"/>
      <c r="E13" s="4"/>
      <c r="F13" s="4"/>
    </row>
    <row r="14" spans="2:6" x14ac:dyDescent="0.25">
      <c r="C14" t="s">
        <v>7</v>
      </c>
      <c r="D14" s="4">
        <v>480000</v>
      </c>
      <c r="E14" s="4">
        <v>400000</v>
      </c>
      <c r="F14" s="4">
        <f>E14-D14</f>
        <v>-80000</v>
      </c>
    </row>
    <row r="15" spans="2:6" x14ac:dyDescent="0.25">
      <c r="C15" t="s">
        <v>8</v>
      </c>
      <c r="D15" s="4">
        <v>200000</v>
      </c>
      <c r="E15" s="4">
        <v>250000</v>
      </c>
      <c r="F15" s="4">
        <f>E15-D15</f>
        <v>50000</v>
      </c>
    </row>
    <row r="16" spans="2:6" x14ac:dyDescent="0.25">
      <c r="D16" s="4"/>
      <c r="E16" s="4"/>
      <c r="F16" s="4"/>
    </row>
    <row r="17" spans="2:6" ht="3.75" customHeight="1" x14ac:dyDescent="0.25">
      <c r="D17" s="4"/>
      <c r="E17" s="4"/>
      <c r="F17" s="4"/>
    </row>
    <row r="18" spans="2:6" x14ac:dyDescent="0.25">
      <c r="B18" t="s">
        <v>29</v>
      </c>
      <c r="D18" s="4"/>
      <c r="E18" s="4"/>
      <c r="F18" s="4"/>
    </row>
    <row r="19" spans="2:6" x14ac:dyDescent="0.25">
      <c r="B19" s="1"/>
      <c r="C19" s="1" t="s">
        <v>9</v>
      </c>
      <c r="D19" s="4">
        <v>46500</v>
      </c>
      <c r="E19" s="4">
        <v>43750</v>
      </c>
      <c r="F19" s="4">
        <f>E19-D19</f>
        <v>-2750</v>
      </c>
    </row>
    <row r="20" spans="2:6" x14ac:dyDescent="0.25">
      <c r="B20" s="2"/>
      <c r="C20" s="2" t="s">
        <v>10</v>
      </c>
      <c r="D20" s="7">
        <v>9300</v>
      </c>
      <c r="E20" s="7">
        <v>8750</v>
      </c>
      <c r="F20" s="7">
        <f>E20-D20</f>
        <v>-550</v>
      </c>
    </row>
    <row r="21" spans="2:6" x14ac:dyDescent="0.25">
      <c r="B21" s="1" t="s">
        <v>30</v>
      </c>
      <c r="C21" s="1"/>
      <c r="D21" s="4">
        <f>SUM(D19:D20)</f>
        <v>55800</v>
      </c>
      <c r="E21" s="4">
        <f>SUM(E19:E20)</f>
        <v>52500</v>
      </c>
      <c r="F21" s="4">
        <f>E21-D21</f>
        <v>-3300</v>
      </c>
    </row>
    <row r="22" spans="2:6" x14ac:dyDescent="0.25">
      <c r="B22" s="1"/>
      <c r="C22" s="1"/>
      <c r="D22" s="4"/>
      <c r="E22" s="4"/>
      <c r="F22" s="4"/>
    </row>
    <row r="23" spans="2:6" x14ac:dyDescent="0.25">
      <c r="B23" s="10" t="s">
        <v>11</v>
      </c>
      <c r="C23" s="10"/>
      <c r="D23" s="14">
        <f>SUM(D14:D20)</f>
        <v>735800</v>
      </c>
      <c r="E23" s="14">
        <f t="shared" ref="E23" si="1">SUM(E14:E20)</f>
        <v>702500</v>
      </c>
      <c r="F23" s="14">
        <f>E23-D23</f>
        <v>-33300</v>
      </c>
    </row>
    <row r="24" spans="2:6" x14ac:dyDescent="0.25">
      <c r="D24" s="4"/>
      <c r="E24" s="4"/>
      <c r="F24" s="4"/>
    </row>
    <row r="25" spans="2:6" x14ac:dyDescent="0.25">
      <c r="B25" t="s">
        <v>12</v>
      </c>
      <c r="D25" s="4">
        <f>D11-D23</f>
        <v>194200</v>
      </c>
      <c r="E25" s="4">
        <f t="shared" ref="E25" si="2">E11-E23</f>
        <v>172500</v>
      </c>
      <c r="F25" s="4">
        <f>D25-E25</f>
        <v>21700</v>
      </c>
    </row>
    <row r="26" spans="2:6" x14ac:dyDescent="0.25">
      <c r="D26" s="4"/>
      <c r="E26" s="4"/>
      <c r="F26" s="4"/>
    </row>
    <row r="27" spans="2:6" x14ac:dyDescent="0.25">
      <c r="B27" t="s">
        <v>13</v>
      </c>
      <c r="D27" s="4"/>
      <c r="E27" s="4"/>
      <c r="F27" s="4"/>
    </row>
    <row r="28" spans="2:6" x14ac:dyDescent="0.25">
      <c r="C28" t="s">
        <v>18</v>
      </c>
      <c r="D28" s="4">
        <v>49600</v>
      </c>
      <c r="E28" s="4">
        <v>0</v>
      </c>
      <c r="F28" s="4">
        <f>E28-D28</f>
        <v>-49600</v>
      </c>
    </row>
    <row r="29" spans="2:6" x14ac:dyDescent="0.25">
      <c r="C29" t="s">
        <v>31</v>
      </c>
      <c r="D29" s="4">
        <f>14000+12000+1900</f>
        <v>27900</v>
      </c>
      <c r="E29" s="4">
        <f>9100*3</f>
        <v>27300</v>
      </c>
      <c r="F29" s="4">
        <f>E29-D29</f>
        <v>-600</v>
      </c>
    </row>
    <row r="30" spans="2:6" x14ac:dyDescent="0.25">
      <c r="C30" t="s">
        <v>32</v>
      </c>
      <c r="D30" s="4">
        <f>11000+9000+1300</f>
        <v>21300</v>
      </c>
      <c r="E30" s="4">
        <f>6900*3</f>
        <v>20700</v>
      </c>
      <c r="F30" s="4">
        <f>E30-D30</f>
        <v>-600</v>
      </c>
    </row>
    <row r="31" spans="2:6" x14ac:dyDescent="0.25">
      <c r="B31" s="1"/>
      <c r="C31" s="1" t="s">
        <v>14</v>
      </c>
      <c r="D31" s="4">
        <v>38500</v>
      </c>
      <c r="E31" s="4">
        <v>36000</v>
      </c>
      <c r="F31" s="4">
        <f>E31-D31</f>
        <v>-2500</v>
      </c>
    </row>
    <row r="32" spans="2:6" x14ac:dyDescent="0.25">
      <c r="B32" s="1"/>
      <c r="C32" s="1" t="s">
        <v>15</v>
      </c>
      <c r="D32" s="4">
        <v>18500</v>
      </c>
      <c r="E32" s="4">
        <v>17500</v>
      </c>
      <c r="F32" s="4">
        <f>E32-D32</f>
        <v>-1000</v>
      </c>
    </row>
    <row r="33" spans="2:6" x14ac:dyDescent="0.25">
      <c r="B33" s="10" t="s">
        <v>16</v>
      </c>
      <c r="C33" s="10"/>
      <c r="D33" s="14">
        <f>SUM(D28:D32)</f>
        <v>155800</v>
      </c>
      <c r="E33" s="14">
        <f t="shared" ref="E33:F33" si="3">SUM(E28:E32)</f>
        <v>101500</v>
      </c>
      <c r="F33" s="14">
        <f t="shared" si="3"/>
        <v>-54300</v>
      </c>
    </row>
    <row r="34" spans="2:6" x14ac:dyDescent="0.25">
      <c r="D34" s="4"/>
      <c r="E34" s="4"/>
      <c r="F34" s="4"/>
    </row>
    <row r="35" spans="2:6" ht="15.75" thickBot="1" x14ac:dyDescent="0.3">
      <c r="B35" s="3" t="s">
        <v>17</v>
      </c>
      <c r="C35" s="3"/>
      <c r="D35" s="8">
        <f>D25-D33</f>
        <v>38400</v>
      </c>
      <c r="E35" s="8">
        <f>E25-E33</f>
        <v>71000</v>
      </c>
      <c r="F35" s="8">
        <f>D35-E35</f>
        <v>-32600</v>
      </c>
    </row>
    <row r="36" spans="2:6" ht="16.5" thickTop="1" thickBot="1" x14ac:dyDescent="0.3"/>
    <row r="37" spans="2:6" ht="15.75" thickBot="1" x14ac:dyDescent="0.3">
      <c r="D37" s="72" t="s">
        <v>19</v>
      </c>
      <c r="E37" s="73"/>
      <c r="F37" s="74">
        <f>F35</f>
        <v>-32600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8"/>
  <sheetViews>
    <sheetView workbookViewId="0">
      <selection activeCell="H12" sqref="H12"/>
    </sheetView>
  </sheetViews>
  <sheetFormatPr defaultRowHeight="15" x14ac:dyDescent="0.25"/>
  <cols>
    <col min="1" max="1" width="9.5703125" bestFit="1" customWidth="1"/>
    <col min="2" max="2" width="7.5703125" bestFit="1" customWidth="1"/>
    <col min="3" max="3" width="4.7109375" customWidth="1"/>
    <col min="4" max="4" width="32" customWidth="1"/>
    <col min="5" max="5" width="14.42578125" bestFit="1" customWidth="1"/>
    <col min="6" max="6" width="12.5703125" bestFit="1" customWidth="1"/>
    <col min="7" max="8" width="14.140625" customWidth="1"/>
    <col min="9" max="9" width="9.5703125" bestFit="1" customWidth="1"/>
    <col min="10" max="10" width="7.5703125" bestFit="1" customWidth="1"/>
    <col min="11" max="11" width="4.7109375" customWidth="1"/>
    <col min="12" max="12" width="30.42578125" customWidth="1"/>
    <col min="13" max="13" width="14.42578125" bestFit="1" customWidth="1"/>
    <col min="14" max="14" width="16.42578125" bestFit="1" customWidth="1"/>
    <col min="15" max="15" width="12.5703125" customWidth="1"/>
  </cols>
  <sheetData>
    <row r="2" spans="1:19" x14ac:dyDescent="0.25">
      <c r="C2" s="17" t="s">
        <v>24</v>
      </c>
      <c r="F2" s="17"/>
      <c r="G2" s="4"/>
      <c r="H2" s="4"/>
      <c r="J2" s="17"/>
      <c r="K2" s="17" t="s">
        <v>26</v>
      </c>
    </row>
    <row r="3" spans="1:19" x14ac:dyDescent="0.25">
      <c r="C3" s="31"/>
      <c r="D3" s="32"/>
      <c r="E3" s="33" t="s">
        <v>33</v>
      </c>
      <c r="F3" s="32" t="s">
        <v>40</v>
      </c>
      <c r="G3" s="34" t="s">
        <v>41</v>
      </c>
      <c r="H3" s="6"/>
      <c r="J3" s="17"/>
      <c r="K3" s="31"/>
      <c r="L3" s="32"/>
      <c r="M3" s="33" t="s">
        <v>33</v>
      </c>
      <c r="N3" s="32" t="s">
        <v>40</v>
      </c>
      <c r="O3" s="34" t="s">
        <v>41</v>
      </c>
    </row>
    <row r="4" spans="1:19" x14ac:dyDescent="0.25">
      <c r="C4" s="35" t="s">
        <v>27</v>
      </c>
      <c r="D4" s="2"/>
      <c r="E4" s="36">
        <v>50000</v>
      </c>
      <c r="F4" s="36">
        <v>60000</v>
      </c>
      <c r="G4" s="37">
        <v>55000</v>
      </c>
      <c r="H4" s="102"/>
      <c r="K4" s="35" t="s">
        <v>27</v>
      </c>
      <c r="L4" s="2"/>
      <c r="M4" s="36">
        <v>25000</v>
      </c>
      <c r="N4" s="36">
        <v>20000</v>
      </c>
      <c r="O4" s="37">
        <v>22500</v>
      </c>
    </row>
    <row r="6" spans="1:19" s="5" customFormat="1" x14ac:dyDescent="0.25">
      <c r="A6" s="69" t="s">
        <v>34</v>
      </c>
      <c r="B6" s="69"/>
      <c r="E6" s="5" t="s">
        <v>22</v>
      </c>
      <c r="F6" s="24" t="s">
        <v>42</v>
      </c>
      <c r="G6" s="24" t="s">
        <v>43</v>
      </c>
      <c r="H6" s="24"/>
      <c r="I6" s="70" t="s">
        <v>34</v>
      </c>
      <c r="J6" s="70"/>
      <c r="M6" s="5" t="s">
        <v>22</v>
      </c>
      <c r="N6" s="24" t="s">
        <v>42</v>
      </c>
      <c r="O6" s="24" t="s">
        <v>43</v>
      </c>
      <c r="R6"/>
      <c r="S6"/>
    </row>
    <row r="7" spans="1:19" s="46" customFormat="1" x14ac:dyDescent="0.25">
      <c r="A7" s="46" t="s">
        <v>44</v>
      </c>
      <c r="B7" s="47">
        <v>60000</v>
      </c>
      <c r="C7" s="57" t="s">
        <v>23</v>
      </c>
      <c r="D7" s="58"/>
      <c r="E7" s="59">
        <f>500000/50000</f>
        <v>10</v>
      </c>
      <c r="F7" s="60">
        <f>E7*B7</f>
        <v>600000</v>
      </c>
      <c r="G7" s="60">
        <v>630000</v>
      </c>
      <c r="H7" s="61"/>
      <c r="I7" s="46" t="s">
        <v>44</v>
      </c>
      <c r="J7" s="62">
        <v>20000</v>
      </c>
      <c r="K7" s="57" t="s">
        <v>23</v>
      </c>
      <c r="L7" s="58"/>
      <c r="M7" s="60">
        <f>375000/25000</f>
        <v>15</v>
      </c>
      <c r="N7" s="60">
        <v>300000</v>
      </c>
      <c r="O7" s="60">
        <v>300000</v>
      </c>
    </row>
    <row r="8" spans="1:19" x14ac:dyDescent="0.25">
      <c r="B8" s="22"/>
      <c r="J8" s="38"/>
      <c r="O8" s="4"/>
    </row>
    <row r="9" spans="1:19" x14ac:dyDescent="0.25">
      <c r="B9" s="22"/>
      <c r="C9" t="s">
        <v>28</v>
      </c>
      <c r="E9" s="17"/>
      <c r="F9" s="18"/>
      <c r="G9" s="18"/>
      <c r="H9" s="18"/>
      <c r="J9" s="39"/>
      <c r="K9" t="s">
        <v>28</v>
      </c>
      <c r="M9" s="17"/>
      <c r="N9" s="18"/>
      <c r="O9" s="4"/>
    </row>
    <row r="10" spans="1:19" x14ac:dyDescent="0.25">
      <c r="A10" t="s">
        <v>45</v>
      </c>
      <c r="B10" s="22">
        <v>55000</v>
      </c>
      <c r="D10" t="s">
        <v>35</v>
      </c>
      <c r="E10" s="17">
        <v>5</v>
      </c>
      <c r="F10" s="18">
        <f>E10*B10</f>
        <v>275000</v>
      </c>
      <c r="G10" s="18">
        <v>280000</v>
      </c>
      <c r="H10" s="18">
        <f>F10-G10</f>
        <v>-5000</v>
      </c>
      <c r="I10" s="46" t="s">
        <v>45</v>
      </c>
      <c r="J10" s="51">
        <v>22500</v>
      </c>
      <c r="K10" s="46"/>
      <c r="L10" s="46" t="s">
        <v>35</v>
      </c>
      <c r="M10" s="90">
        <v>6</v>
      </c>
      <c r="N10" s="89">
        <f>J10*M10</f>
        <v>135000</v>
      </c>
      <c r="O10" s="68">
        <v>138000</v>
      </c>
      <c r="P10" s="18">
        <f>N10-O10</f>
        <v>-3000</v>
      </c>
    </row>
    <row r="11" spans="1:19" x14ac:dyDescent="0.25">
      <c r="A11" t="s">
        <v>45</v>
      </c>
      <c r="B11" s="22">
        <v>55000</v>
      </c>
      <c r="D11" t="s">
        <v>36</v>
      </c>
      <c r="E11" s="17">
        <v>1</v>
      </c>
      <c r="F11" s="18">
        <f>E11*B11</f>
        <v>55000</v>
      </c>
      <c r="G11" s="18">
        <v>55800</v>
      </c>
      <c r="H11" s="18">
        <f>F11-G11</f>
        <v>-800</v>
      </c>
      <c r="I11" s="46" t="s">
        <v>45</v>
      </c>
      <c r="J11" s="51">
        <v>22500</v>
      </c>
      <c r="K11" s="48"/>
      <c r="L11" s="48" t="s">
        <v>36</v>
      </c>
      <c r="M11" s="49">
        <v>2</v>
      </c>
      <c r="N11" s="50">
        <f>M11*J11</f>
        <v>45000</v>
      </c>
      <c r="O11" s="52">
        <v>44800</v>
      </c>
      <c r="P11" s="18">
        <f>N11-O11</f>
        <v>200</v>
      </c>
    </row>
    <row r="12" spans="1:19" x14ac:dyDescent="0.25">
      <c r="A12" t="s">
        <v>45</v>
      </c>
      <c r="B12" s="22">
        <v>55000</v>
      </c>
      <c r="C12" s="2"/>
      <c r="D12" s="2" t="s">
        <v>37</v>
      </c>
      <c r="E12" s="19">
        <v>2</v>
      </c>
      <c r="F12" s="29">
        <f>E12*B12</f>
        <v>110000</v>
      </c>
      <c r="G12" s="29">
        <f>43000+50000+19000</f>
        <v>112000</v>
      </c>
      <c r="H12" s="18">
        <f>F12-G12</f>
        <v>-2000</v>
      </c>
      <c r="I12" s="46" t="s">
        <v>45</v>
      </c>
      <c r="J12" s="91">
        <v>22500</v>
      </c>
      <c r="K12" s="53"/>
      <c r="L12" s="53" t="s">
        <v>37</v>
      </c>
      <c r="M12" s="54">
        <v>2</v>
      </c>
      <c r="N12" s="55">
        <f>M12*J12</f>
        <v>45000</v>
      </c>
      <c r="O12" s="56">
        <f>18000+15000+12000</f>
        <v>45000</v>
      </c>
      <c r="P12" s="18">
        <f>N12-O12</f>
        <v>0</v>
      </c>
    </row>
    <row r="13" spans="1:19" x14ac:dyDescent="0.25">
      <c r="B13" s="22"/>
      <c r="C13" t="s">
        <v>38</v>
      </c>
      <c r="E13" s="17">
        <f>SUM(E10:E12)</f>
        <v>8</v>
      </c>
      <c r="F13" s="18">
        <f>SUM(F10:F12)</f>
        <v>440000</v>
      </c>
      <c r="G13" s="18">
        <f>SUM(G10:G12)</f>
        <v>447800</v>
      </c>
      <c r="H13" s="18">
        <f>F13-G13</f>
        <v>-7800</v>
      </c>
      <c r="I13" s="46"/>
      <c r="J13" s="51"/>
      <c r="K13" s="46" t="s">
        <v>38</v>
      </c>
      <c r="L13" s="46"/>
      <c r="M13" s="90">
        <f>SUM(M10:M12)</f>
        <v>10</v>
      </c>
      <c r="N13" s="89">
        <f>SUM(N10:N12)</f>
        <v>225000</v>
      </c>
      <c r="O13" s="68">
        <f>SUM(O10:O12)</f>
        <v>227800</v>
      </c>
      <c r="P13" s="18">
        <f>N13-O13</f>
        <v>-2800</v>
      </c>
    </row>
    <row r="14" spans="1:19" x14ac:dyDescent="0.25">
      <c r="B14" s="22"/>
      <c r="C14" t="s">
        <v>29</v>
      </c>
      <c r="E14" s="17"/>
      <c r="F14" s="18"/>
      <c r="G14" s="18"/>
      <c r="H14" s="18"/>
      <c r="I14" s="46"/>
      <c r="J14" s="51"/>
      <c r="K14" s="46" t="s">
        <v>29</v>
      </c>
      <c r="L14" s="46"/>
      <c r="M14" s="90"/>
      <c r="N14" s="89"/>
      <c r="O14" s="68"/>
    </row>
    <row r="15" spans="1:19" s="46" customFormat="1" x14ac:dyDescent="0.25">
      <c r="A15" s="46" t="s">
        <v>112</v>
      </c>
      <c r="B15" s="47">
        <f>F7</f>
        <v>600000</v>
      </c>
      <c r="C15" s="48"/>
      <c r="D15" s="48" t="s">
        <v>68</v>
      </c>
      <c r="E15" s="49">
        <f>E7*0.05</f>
        <v>0.5</v>
      </c>
      <c r="F15" s="50">
        <f>0.05*F7</f>
        <v>30000</v>
      </c>
      <c r="G15" s="50">
        <f>46500*630/(630+300)</f>
        <v>31500</v>
      </c>
      <c r="H15" s="50"/>
      <c r="I15" s="46" t="s">
        <v>112</v>
      </c>
      <c r="J15" s="47">
        <f>N7</f>
        <v>300000</v>
      </c>
      <c r="K15" s="48"/>
      <c r="L15" s="48" t="s">
        <v>9</v>
      </c>
      <c r="M15" s="49">
        <f>M7*0.05</f>
        <v>0.75</v>
      </c>
      <c r="N15" s="50">
        <f>0.05*N7</f>
        <v>15000</v>
      </c>
      <c r="O15" s="52">
        <f>46500*300/(300+630)</f>
        <v>15000</v>
      </c>
    </row>
    <row r="16" spans="1:19" s="46" customFormat="1" x14ac:dyDescent="0.25">
      <c r="A16" s="46" t="s">
        <v>112</v>
      </c>
      <c r="B16" s="47">
        <f>F7</f>
        <v>600000</v>
      </c>
      <c r="C16" s="53"/>
      <c r="D16" s="53" t="s">
        <v>10</v>
      </c>
      <c r="E16" s="54">
        <f>9300/930000*E7</f>
        <v>0.1</v>
      </c>
      <c r="F16" s="55">
        <f>E16*B16</f>
        <v>60000</v>
      </c>
      <c r="G16" s="55">
        <f>9300*G7/(G7+O7)</f>
        <v>6300</v>
      </c>
      <c r="H16" s="50"/>
      <c r="I16" s="46" t="s">
        <v>112</v>
      </c>
      <c r="J16" s="47">
        <f>N7</f>
        <v>300000</v>
      </c>
      <c r="K16" s="53"/>
      <c r="L16" s="53" t="s">
        <v>10</v>
      </c>
      <c r="M16" s="54">
        <f>0.01*M7</f>
        <v>0.15</v>
      </c>
      <c r="N16" s="55">
        <f>M16*J16</f>
        <v>45000</v>
      </c>
      <c r="O16" s="56">
        <f>9300*O7/(O7+G7)</f>
        <v>3000</v>
      </c>
    </row>
    <row r="17" spans="1:15" x14ac:dyDescent="0.25">
      <c r="B17" s="22"/>
      <c r="C17" s="1" t="s">
        <v>30</v>
      </c>
      <c r="D17" s="1"/>
      <c r="E17" s="17">
        <f>SUM(E15:E16)</f>
        <v>0.6</v>
      </c>
      <c r="F17" s="18">
        <f>SUM(F15:F16)</f>
        <v>90000</v>
      </c>
      <c r="G17" s="18">
        <f>SUM(G15:G16)</f>
        <v>37800</v>
      </c>
      <c r="H17" s="18"/>
      <c r="I17" s="46"/>
      <c r="J17" s="51"/>
      <c r="K17" s="48" t="s">
        <v>30</v>
      </c>
      <c r="L17" s="48"/>
      <c r="M17" s="90">
        <f>SUM(M15:M16)</f>
        <v>0.9</v>
      </c>
      <c r="N17" s="89">
        <f>SUM(N15:N16)</f>
        <v>60000</v>
      </c>
      <c r="O17" s="68">
        <f>SUM(O15:O16)</f>
        <v>18000</v>
      </c>
    </row>
    <row r="18" spans="1:15" x14ac:dyDescent="0.25">
      <c r="B18" s="22"/>
      <c r="C18" s="1"/>
      <c r="D18" s="1"/>
      <c r="E18" s="17"/>
      <c r="F18" s="18"/>
      <c r="G18" s="18"/>
      <c r="H18" s="18"/>
      <c r="I18" s="46"/>
      <c r="J18" s="51"/>
      <c r="K18" s="48"/>
      <c r="L18" s="48"/>
      <c r="M18" s="90"/>
      <c r="N18" s="89"/>
      <c r="O18" s="68"/>
    </row>
    <row r="19" spans="1:15" x14ac:dyDescent="0.25">
      <c r="B19" s="22"/>
      <c r="C19" s="10" t="s">
        <v>11</v>
      </c>
      <c r="D19" s="10"/>
      <c r="E19" s="20">
        <f>E13+E17</f>
        <v>8.6</v>
      </c>
      <c r="F19" s="27">
        <f>F13+F17</f>
        <v>530000</v>
      </c>
      <c r="G19" s="27">
        <f>G13+G17</f>
        <v>485600</v>
      </c>
      <c r="H19" s="30"/>
      <c r="I19" s="46"/>
      <c r="J19" s="51"/>
      <c r="K19" s="57" t="s">
        <v>11</v>
      </c>
      <c r="L19" s="57"/>
      <c r="M19" s="93">
        <f>M13+M17</f>
        <v>10.9</v>
      </c>
      <c r="N19" s="92">
        <f>N13+N17</f>
        <v>285000</v>
      </c>
      <c r="O19" s="63">
        <f>O13+O17</f>
        <v>245800</v>
      </c>
    </row>
    <row r="20" spans="1:15" x14ac:dyDescent="0.25">
      <c r="B20" s="22"/>
      <c r="E20" s="17"/>
      <c r="F20" s="18"/>
      <c r="G20" s="18"/>
      <c r="H20" s="18"/>
      <c r="I20" s="46"/>
      <c r="J20" s="51"/>
      <c r="K20" s="46"/>
      <c r="L20" s="46"/>
      <c r="M20" s="90"/>
      <c r="N20" s="89"/>
      <c r="O20" s="68"/>
    </row>
    <row r="21" spans="1:15" x14ac:dyDescent="0.25">
      <c r="B21" s="22"/>
      <c r="C21" s="10" t="s">
        <v>12</v>
      </c>
      <c r="D21" s="10"/>
      <c r="E21" s="20">
        <f>E7-E19</f>
        <v>1.4000000000000004</v>
      </c>
      <c r="F21" s="27">
        <f>F7-F19</f>
        <v>70000</v>
      </c>
      <c r="G21" s="27">
        <f>G7-G19</f>
        <v>144400</v>
      </c>
      <c r="H21" s="30"/>
      <c r="I21" s="46"/>
      <c r="J21" s="51"/>
      <c r="K21" s="57" t="s">
        <v>12</v>
      </c>
      <c r="L21" s="57"/>
      <c r="M21" s="93">
        <f>M7-M19</f>
        <v>4.0999999999999996</v>
      </c>
      <c r="N21" s="92">
        <f>N7-N19</f>
        <v>15000</v>
      </c>
      <c r="O21" s="63">
        <f>O7-O19</f>
        <v>54200</v>
      </c>
    </row>
    <row r="22" spans="1:15" x14ac:dyDescent="0.25">
      <c r="B22" s="22"/>
      <c r="E22" s="17"/>
      <c r="F22" s="18"/>
      <c r="G22" s="18"/>
      <c r="H22" s="18"/>
      <c r="I22" s="46"/>
      <c r="J22" s="51"/>
      <c r="K22" s="46"/>
      <c r="L22" s="46"/>
      <c r="M22" s="90"/>
      <c r="N22" s="89"/>
      <c r="O22" s="68"/>
    </row>
    <row r="23" spans="1:15" x14ac:dyDescent="0.25">
      <c r="B23" s="22"/>
      <c r="C23" t="s">
        <v>13</v>
      </c>
      <c r="E23" s="17"/>
      <c r="F23" s="18"/>
      <c r="G23" s="18"/>
      <c r="H23" s="18"/>
      <c r="I23" s="46"/>
      <c r="J23" s="62"/>
      <c r="K23" s="46" t="s">
        <v>13</v>
      </c>
      <c r="L23" s="46"/>
      <c r="M23" s="90"/>
      <c r="N23" s="89"/>
      <c r="O23" s="68"/>
    </row>
    <row r="24" spans="1:15" x14ac:dyDescent="0.25">
      <c r="A24" t="s">
        <v>45</v>
      </c>
      <c r="B24" s="22">
        <v>55000</v>
      </c>
      <c r="D24" t="s">
        <v>31</v>
      </c>
      <c r="E24" s="17">
        <f>(4500+4000+600)*3/E4</f>
        <v>0.54600000000000004</v>
      </c>
      <c r="F24" s="18">
        <f>E24*B24</f>
        <v>30030.000000000004</v>
      </c>
      <c r="G24" s="18">
        <f>14000+12000+1900</f>
        <v>27900</v>
      </c>
      <c r="H24" s="18"/>
      <c r="I24" s="46" t="s">
        <v>45</v>
      </c>
      <c r="J24" s="62">
        <v>22500</v>
      </c>
      <c r="K24" s="46"/>
      <c r="L24" s="46" t="s">
        <v>32</v>
      </c>
      <c r="M24" s="90">
        <f>(3500+3000+400)*3/M4</f>
        <v>0.82799999999999996</v>
      </c>
      <c r="N24" s="89">
        <f>M24*J24</f>
        <v>18630</v>
      </c>
      <c r="O24" s="68">
        <f>11000+9000+1300</f>
        <v>21300</v>
      </c>
    </row>
    <row r="25" spans="1:15" x14ac:dyDescent="0.25">
      <c r="A25" t="s">
        <v>44</v>
      </c>
      <c r="B25" s="22">
        <v>60000</v>
      </c>
      <c r="C25" s="1"/>
      <c r="D25" s="1" t="s">
        <v>14</v>
      </c>
      <c r="E25" s="17">
        <f>36000/2/E4</f>
        <v>0.36</v>
      </c>
      <c r="F25" s="18">
        <f>E25*B25</f>
        <v>21600</v>
      </c>
      <c r="G25" s="18">
        <f>38500/2</f>
        <v>19250</v>
      </c>
      <c r="H25" s="18"/>
      <c r="I25" s="46" t="s">
        <v>44</v>
      </c>
      <c r="J25" s="51">
        <v>20000</v>
      </c>
      <c r="K25" s="48"/>
      <c r="L25" s="48" t="s">
        <v>14</v>
      </c>
      <c r="M25" s="90">
        <f>36000/2/M4</f>
        <v>0.72</v>
      </c>
      <c r="N25" s="89">
        <f>M25*J25</f>
        <v>14400</v>
      </c>
      <c r="O25" s="89">
        <f>38500/2</f>
        <v>19250</v>
      </c>
    </row>
    <row r="26" spans="1:15" x14ac:dyDescent="0.25">
      <c r="A26" t="s">
        <v>44</v>
      </c>
      <c r="B26" s="22">
        <v>60000</v>
      </c>
      <c r="C26" s="1"/>
      <c r="D26" s="1" t="s">
        <v>15</v>
      </c>
      <c r="E26" s="17">
        <f>17500/2/E4</f>
        <v>0.17499999999999999</v>
      </c>
      <c r="F26" s="18">
        <f>E26*B26</f>
        <v>10500</v>
      </c>
      <c r="G26" s="18">
        <f>18500/2</f>
        <v>9250</v>
      </c>
      <c r="H26" s="18"/>
      <c r="I26" s="46" t="s">
        <v>44</v>
      </c>
      <c r="J26" s="51">
        <v>20000</v>
      </c>
      <c r="K26" s="48"/>
      <c r="L26" s="48" t="s">
        <v>15</v>
      </c>
      <c r="M26" s="90">
        <f>17500/2/M4</f>
        <v>0.35</v>
      </c>
      <c r="N26" s="89">
        <f>M26*J26</f>
        <v>7000</v>
      </c>
      <c r="O26" s="89">
        <f>18500/2</f>
        <v>9250</v>
      </c>
    </row>
    <row r="27" spans="1:15" x14ac:dyDescent="0.25">
      <c r="C27" s="10" t="s">
        <v>16</v>
      </c>
      <c r="D27" s="10"/>
      <c r="E27" s="20">
        <f>SUM(E24:E26)</f>
        <v>1.081</v>
      </c>
      <c r="F27" s="27">
        <f>SUM(F24:F26)</f>
        <v>62130</v>
      </c>
      <c r="G27" s="27">
        <f>SUM(G24:G26)</f>
        <v>56400</v>
      </c>
      <c r="H27" s="30"/>
      <c r="I27" s="48"/>
      <c r="J27" s="51"/>
      <c r="K27" s="57" t="s">
        <v>16</v>
      </c>
      <c r="L27" s="57"/>
      <c r="M27" s="93">
        <v>1.5413333333333332</v>
      </c>
      <c r="N27" s="92">
        <f>SUM(N24:N26)</f>
        <v>40030</v>
      </c>
      <c r="O27" s="63">
        <f>SUM(O24:O26)</f>
        <v>49800</v>
      </c>
    </row>
    <row r="28" spans="1:15" x14ac:dyDescent="0.25">
      <c r="C28" s="1"/>
      <c r="D28" s="1"/>
      <c r="E28" s="23"/>
      <c r="F28" s="18"/>
      <c r="G28" s="18"/>
      <c r="H28" s="18"/>
      <c r="I28" s="1"/>
      <c r="J28" s="26"/>
      <c r="K28" s="1"/>
      <c r="L28" s="1"/>
      <c r="M28" s="23"/>
      <c r="N28" s="18"/>
      <c r="O28" s="6"/>
    </row>
    <row r="29" spans="1:15" x14ac:dyDescent="0.25">
      <c r="C29" s="1" t="s">
        <v>69</v>
      </c>
      <c r="D29" s="1"/>
      <c r="E29" s="23"/>
      <c r="F29" s="18"/>
      <c r="G29" s="18"/>
      <c r="H29" s="18"/>
      <c r="I29" s="1"/>
      <c r="J29" s="26"/>
      <c r="K29" s="1"/>
      <c r="L29" s="1"/>
      <c r="M29" s="23"/>
      <c r="N29" s="18"/>
      <c r="O29" s="6"/>
    </row>
    <row r="30" spans="1:15" x14ac:dyDescent="0.25">
      <c r="C30" t="s">
        <v>39</v>
      </c>
      <c r="F30" s="4"/>
      <c r="G30" s="4"/>
      <c r="H30" s="4"/>
      <c r="J30" s="25"/>
      <c r="K30" t="s">
        <v>39</v>
      </c>
      <c r="N30" s="4"/>
      <c r="O30" s="4">
        <f>180000-O10</f>
        <v>42000</v>
      </c>
    </row>
    <row r="31" spans="1:15" x14ac:dyDescent="0.25">
      <c r="E31" s="17"/>
      <c r="F31" s="18"/>
      <c r="G31" s="18"/>
      <c r="H31" s="18"/>
      <c r="J31" s="26"/>
      <c r="M31" s="17"/>
      <c r="N31" s="18"/>
      <c r="O31" s="4"/>
    </row>
    <row r="32" spans="1:15" ht="15.75" thickBot="1" x14ac:dyDescent="0.3">
      <c r="C32" s="3" t="s">
        <v>17</v>
      </c>
      <c r="D32" s="3"/>
      <c r="E32" s="21">
        <f>E21-E27</f>
        <v>0.31900000000000039</v>
      </c>
      <c r="F32" s="28">
        <f>F21-F27-F30</f>
        <v>7870</v>
      </c>
      <c r="G32" s="28">
        <f>G21-G27-G30</f>
        <v>88000</v>
      </c>
      <c r="H32" s="30"/>
      <c r="I32" s="1"/>
      <c r="J32" s="26"/>
      <c r="K32" s="3" t="s">
        <v>17</v>
      </c>
      <c r="L32" s="3"/>
      <c r="M32" s="21">
        <f>M21-M27</f>
        <v>2.5586666666666664</v>
      </c>
      <c r="N32" s="28">
        <f>N21-N27-N30</f>
        <v>-25030</v>
      </c>
      <c r="O32" s="28">
        <f>O21-O27-O30</f>
        <v>-37600</v>
      </c>
    </row>
    <row r="33" spans="3:13" ht="15.75" thickTop="1" x14ac:dyDescent="0.25">
      <c r="J33" s="26"/>
    </row>
    <row r="34" spans="3:13" x14ac:dyDescent="0.25">
      <c r="C34" t="s">
        <v>113</v>
      </c>
      <c r="E34" s="45">
        <f>E21/E7</f>
        <v>0.14000000000000004</v>
      </c>
      <c r="J34" s="1"/>
      <c r="K34" t="s">
        <v>113</v>
      </c>
      <c r="M34" s="45">
        <f>M21/M7</f>
        <v>0.27333333333333332</v>
      </c>
    </row>
    <row r="35" spans="3:13" x14ac:dyDescent="0.25">
      <c r="D35" s="18"/>
    </row>
    <row r="39" spans="3:13" x14ac:dyDescent="0.25">
      <c r="D39" t="s">
        <v>0</v>
      </c>
    </row>
    <row r="40" spans="3:13" x14ac:dyDescent="0.25">
      <c r="D40" t="s">
        <v>61</v>
      </c>
    </row>
    <row r="41" spans="3:13" x14ac:dyDescent="0.25">
      <c r="D41" t="s">
        <v>21</v>
      </c>
      <c r="E41" t="s">
        <v>62</v>
      </c>
      <c r="F41" t="s">
        <v>63</v>
      </c>
      <c r="G41">
        <f>63/6</f>
        <v>10.5</v>
      </c>
    </row>
    <row r="42" spans="3:13" x14ac:dyDescent="0.25">
      <c r="D42" t="s">
        <v>64</v>
      </c>
    </row>
    <row r="44" spans="3:13" x14ac:dyDescent="0.25">
      <c r="D44" t="s">
        <v>20</v>
      </c>
    </row>
    <row r="45" spans="3:13" x14ac:dyDescent="0.25">
      <c r="D45" t="s">
        <v>70</v>
      </c>
    </row>
    <row r="46" spans="3:13" x14ac:dyDescent="0.25">
      <c r="D46" t="s">
        <v>50</v>
      </c>
    </row>
    <row r="48" spans="3:13" x14ac:dyDescent="0.25">
      <c r="D48" t="s">
        <v>51</v>
      </c>
    </row>
    <row r="49" spans="2:12" x14ac:dyDescent="0.25">
      <c r="D49" t="s">
        <v>52</v>
      </c>
      <c r="L49" t="s">
        <v>53</v>
      </c>
    </row>
    <row r="50" spans="2:12" x14ac:dyDescent="0.25">
      <c r="D50" t="s">
        <v>54</v>
      </c>
      <c r="L50" t="s">
        <v>55</v>
      </c>
    </row>
    <row r="52" spans="2:12" x14ac:dyDescent="0.25">
      <c r="D52" t="s">
        <v>56</v>
      </c>
      <c r="L52" t="s">
        <v>57</v>
      </c>
    </row>
    <row r="54" spans="2:12" x14ac:dyDescent="0.25">
      <c r="D54" t="s">
        <v>65</v>
      </c>
    </row>
    <row r="58" spans="2:12" x14ac:dyDescent="0.25">
      <c r="D58" t="s">
        <v>59</v>
      </c>
    </row>
    <row r="59" spans="2:12" x14ac:dyDescent="0.25">
      <c r="D59" t="s">
        <v>60</v>
      </c>
    </row>
    <row r="63" spans="2:12" x14ac:dyDescent="0.25">
      <c r="D63" t="s">
        <v>66</v>
      </c>
    </row>
    <row r="64" spans="2:12" x14ac:dyDescent="0.25">
      <c r="B64" t="s">
        <v>78</v>
      </c>
      <c r="D64" t="s">
        <v>67</v>
      </c>
    </row>
    <row r="65" spans="4:7" x14ac:dyDescent="0.25">
      <c r="D65" t="s">
        <v>84</v>
      </c>
    </row>
    <row r="66" spans="4:7" x14ac:dyDescent="0.25">
      <c r="D66" t="s">
        <v>79</v>
      </c>
    </row>
    <row r="67" spans="4:7" x14ac:dyDescent="0.25">
      <c r="D67" t="s">
        <v>80</v>
      </c>
      <c r="G67" t="s">
        <v>82</v>
      </c>
    </row>
    <row r="68" spans="4:7" x14ac:dyDescent="0.25">
      <c r="D68" t="s">
        <v>83</v>
      </c>
      <c r="E68" t="s">
        <v>81</v>
      </c>
    </row>
  </sheetData>
  <mergeCells count="2">
    <mergeCell ref="A6:B6"/>
    <mergeCell ref="I6:J6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3"/>
  <sheetViews>
    <sheetView workbookViewId="0">
      <selection activeCell="G14" sqref="G14"/>
    </sheetView>
  </sheetViews>
  <sheetFormatPr defaultRowHeight="15" x14ac:dyDescent="0.25"/>
  <cols>
    <col min="2" max="2" width="4.140625" customWidth="1"/>
    <col min="3" max="3" width="33.7109375" customWidth="1"/>
    <col min="4" max="4" width="12.5703125" bestFit="1" customWidth="1"/>
    <col min="5" max="5" width="12.5703125" customWidth="1"/>
    <col min="6" max="6" width="4.140625" style="5" customWidth="1"/>
    <col min="7" max="8" width="12.5703125" customWidth="1"/>
    <col min="9" max="9" width="4.140625" style="5" customWidth="1"/>
    <col min="10" max="10" width="12.5703125" bestFit="1" customWidth="1"/>
  </cols>
  <sheetData>
    <row r="3" spans="2:10" s="15" customFormat="1" ht="60" x14ac:dyDescent="0.25">
      <c r="B3" s="64" t="s">
        <v>0</v>
      </c>
      <c r="D3" s="15" t="s">
        <v>3</v>
      </c>
      <c r="E3" s="15" t="s">
        <v>97</v>
      </c>
      <c r="F3" s="24"/>
      <c r="G3" s="15" t="s">
        <v>71</v>
      </c>
      <c r="H3" s="15" t="s">
        <v>72</v>
      </c>
      <c r="I3" s="24"/>
      <c r="J3" s="15" t="s">
        <v>4</v>
      </c>
    </row>
    <row r="4" spans="2:10" x14ac:dyDescent="0.25">
      <c r="B4" t="s">
        <v>27</v>
      </c>
    </row>
    <row r="5" spans="2:10" x14ac:dyDescent="0.25">
      <c r="C5" t="s">
        <v>1</v>
      </c>
      <c r="D5" s="16">
        <v>60000</v>
      </c>
      <c r="E5" s="16">
        <v>0</v>
      </c>
      <c r="F5" s="78"/>
      <c r="G5" s="16">
        <v>60000</v>
      </c>
      <c r="H5" s="16">
        <f>G5-J5</f>
        <v>10000</v>
      </c>
      <c r="I5" s="78" t="s">
        <v>76</v>
      </c>
      <c r="J5" s="16">
        <v>50000</v>
      </c>
    </row>
    <row r="6" spans="2:10" x14ac:dyDescent="0.25">
      <c r="C6" t="s">
        <v>2</v>
      </c>
      <c r="D6" s="16">
        <v>20000</v>
      </c>
      <c r="E6" s="16">
        <v>0</v>
      </c>
      <c r="F6" s="78"/>
      <c r="G6" s="16">
        <v>20000</v>
      </c>
      <c r="H6" s="16">
        <f>G6-J6</f>
        <v>-5000</v>
      </c>
      <c r="I6" s="78" t="s">
        <v>77</v>
      </c>
      <c r="J6" s="16">
        <v>25000</v>
      </c>
    </row>
    <row r="7" spans="2:10" x14ac:dyDescent="0.25">
      <c r="D7" s="4"/>
      <c r="E7" s="4"/>
      <c r="F7" s="71"/>
      <c r="G7" s="4"/>
      <c r="H7" s="4"/>
      <c r="I7" s="71"/>
      <c r="J7" s="4"/>
    </row>
    <row r="8" spans="2:10" x14ac:dyDescent="0.25">
      <c r="B8" t="s">
        <v>5</v>
      </c>
      <c r="D8" s="4"/>
      <c r="E8" s="4"/>
      <c r="F8" s="71"/>
      <c r="G8" s="4"/>
      <c r="H8" s="4"/>
      <c r="I8" s="71"/>
      <c r="J8" s="4"/>
    </row>
    <row r="9" spans="2:10" x14ac:dyDescent="0.25">
      <c r="C9" t="s">
        <v>1</v>
      </c>
      <c r="D9" s="4">
        <v>630000</v>
      </c>
      <c r="E9" s="4">
        <f>D9-G9</f>
        <v>30000</v>
      </c>
      <c r="F9" s="71" t="s">
        <v>76</v>
      </c>
      <c r="G9" s="4">
        <f>60000*10</f>
        <v>600000</v>
      </c>
      <c r="H9" s="16">
        <f>G9-J9</f>
        <v>100000</v>
      </c>
      <c r="I9" s="78" t="s">
        <v>76</v>
      </c>
      <c r="J9" s="4">
        <v>500000</v>
      </c>
    </row>
    <row r="10" spans="2:10" x14ac:dyDescent="0.25">
      <c r="B10" s="1"/>
      <c r="C10" s="1" t="s">
        <v>2</v>
      </c>
      <c r="D10" s="4">
        <v>300000</v>
      </c>
      <c r="E10" s="4">
        <f>D10-G10</f>
        <v>0</v>
      </c>
      <c r="F10" s="71"/>
      <c r="G10" s="4">
        <f>20000*15</f>
        <v>300000</v>
      </c>
      <c r="H10" s="16">
        <f>G10-J10</f>
        <v>-75000</v>
      </c>
      <c r="I10" s="78" t="s">
        <v>77</v>
      </c>
      <c r="J10" s="4">
        <v>375000</v>
      </c>
    </row>
    <row r="11" spans="2:10" x14ac:dyDescent="0.25">
      <c r="B11" s="10" t="s">
        <v>6</v>
      </c>
      <c r="C11" s="10"/>
      <c r="D11" s="14">
        <f>SUM(D9:D10)</f>
        <v>930000</v>
      </c>
      <c r="E11" s="14">
        <f>D11-G11</f>
        <v>30000</v>
      </c>
      <c r="F11" s="79" t="s">
        <v>76</v>
      </c>
      <c r="G11" s="14">
        <f>SUM(G9:G10)</f>
        <v>900000</v>
      </c>
      <c r="H11" s="75">
        <f>G11-J11</f>
        <v>25000</v>
      </c>
      <c r="I11" s="83" t="s">
        <v>76</v>
      </c>
      <c r="J11" s="14">
        <f t="shared" ref="J11" si="0">SUM(J9:J10)</f>
        <v>875000</v>
      </c>
    </row>
    <row r="12" spans="2:10" x14ac:dyDescent="0.25">
      <c r="D12" s="4"/>
      <c r="E12" s="4"/>
      <c r="F12" s="71"/>
      <c r="G12" s="4"/>
      <c r="H12" s="4"/>
      <c r="I12" s="71"/>
      <c r="J12" s="4"/>
    </row>
    <row r="13" spans="2:10" x14ac:dyDescent="0.25">
      <c r="B13" s="1" t="s">
        <v>28</v>
      </c>
      <c r="C13" s="1"/>
      <c r="D13" s="6"/>
      <c r="E13" s="6"/>
      <c r="F13" s="80"/>
      <c r="G13" s="6"/>
      <c r="H13" s="6"/>
      <c r="I13" s="80"/>
      <c r="J13" s="6"/>
    </row>
    <row r="14" spans="2:10" x14ac:dyDescent="0.25">
      <c r="B14" s="1"/>
      <c r="C14" s="1" t="s">
        <v>7</v>
      </c>
      <c r="D14" s="6">
        <v>480000</v>
      </c>
      <c r="E14" s="6">
        <f>G14-D14</f>
        <v>-32200</v>
      </c>
      <c r="F14" s="80" t="s">
        <v>77</v>
      </c>
      <c r="G14" s="6">
        <f>'FLEXIBLE BUD_UNIT COSTS'!G13</f>
        <v>447800</v>
      </c>
      <c r="H14" s="76">
        <f>J14-G14</f>
        <v>-47800</v>
      </c>
      <c r="I14" s="84" t="s">
        <v>77</v>
      </c>
      <c r="J14" s="6">
        <v>400000</v>
      </c>
    </row>
    <row r="15" spans="2:10" x14ac:dyDescent="0.25">
      <c r="B15" s="2"/>
      <c r="C15" s="2" t="s">
        <v>8</v>
      </c>
      <c r="D15" s="7">
        <v>200000</v>
      </c>
      <c r="E15" s="7">
        <f>G15-D15</f>
        <v>25000</v>
      </c>
      <c r="F15" s="81" t="s">
        <v>76</v>
      </c>
      <c r="G15" s="7">
        <f>'FLEXIBLE BUD_UNIT COSTS'!N13</f>
        <v>225000</v>
      </c>
      <c r="H15" s="77">
        <f>J15-G15</f>
        <v>25000</v>
      </c>
      <c r="I15" s="85" t="s">
        <v>76</v>
      </c>
      <c r="J15" s="7">
        <v>250000</v>
      </c>
    </row>
    <row r="16" spans="2:10" x14ac:dyDescent="0.25">
      <c r="B16" t="s">
        <v>114</v>
      </c>
      <c r="D16" s="4">
        <f>SUM(D14:D15)</f>
        <v>680000</v>
      </c>
      <c r="E16" s="6">
        <f>G16-D16</f>
        <v>-7200</v>
      </c>
      <c r="F16" s="71" t="s">
        <v>77</v>
      </c>
      <c r="G16" s="4">
        <f>SUM(G14:G15)</f>
        <v>672800</v>
      </c>
      <c r="H16" s="4">
        <f>SUM(H14:H15)</f>
        <v>-22800</v>
      </c>
      <c r="I16" s="78" t="s">
        <v>77</v>
      </c>
      <c r="J16" s="4">
        <f>SUM(J14:J15)</f>
        <v>650000</v>
      </c>
    </row>
    <row r="17" spans="2:19" x14ac:dyDescent="0.25">
      <c r="D17" s="4"/>
      <c r="E17" s="4"/>
      <c r="F17" s="71"/>
      <c r="G17" s="4"/>
      <c r="H17" s="4"/>
      <c r="I17" s="71"/>
      <c r="J17" s="4"/>
    </row>
    <row r="18" spans="2:19" x14ac:dyDescent="0.25">
      <c r="B18" t="s">
        <v>29</v>
      </c>
      <c r="D18" s="4"/>
      <c r="E18" s="4"/>
      <c r="F18" s="71"/>
      <c r="G18" s="4"/>
      <c r="H18" s="4"/>
      <c r="I18" s="71"/>
      <c r="J18" s="4"/>
    </row>
    <row r="19" spans="2:19" x14ac:dyDescent="0.25">
      <c r="B19" s="1"/>
      <c r="C19" s="1" t="s">
        <v>74</v>
      </c>
      <c r="D19" s="4">
        <v>46500</v>
      </c>
      <c r="E19" s="4">
        <f>G19-D19</f>
        <v>-1500</v>
      </c>
      <c r="F19" s="71" t="s">
        <v>77</v>
      </c>
      <c r="G19" s="4">
        <f>G11*0.05</f>
        <v>45000</v>
      </c>
      <c r="H19" s="16">
        <f>J19-G19</f>
        <v>-1250</v>
      </c>
      <c r="I19" s="78" t="s">
        <v>77</v>
      </c>
      <c r="J19" s="4">
        <v>43750</v>
      </c>
      <c r="P19">
        <f>49600-39000</f>
        <v>10600</v>
      </c>
    </row>
    <row r="20" spans="2:19" x14ac:dyDescent="0.25">
      <c r="B20" s="2"/>
      <c r="C20" s="2" t="s">
        <v>75</v>
      </c>
      <c r="D20" s="7">
        <v>9300</v>
      </c>
      <c r="E20" s="7">
        <f>G20-D20</f>
        <v>-300</v>
      </c>
      <c r="F20" s="81" t="s">
        <v>77</v>
      </c>
      <c r="G20" s="7">
        <f>G11*0.01</f>
        <v>9000</v>
      </c>
      <c r="H20" s="77">
        <f>J20-G20</f>
        <v>-250</v>
      </c>
      <c r="I20" s="85" t="s">
        <v>77</v>
      </c>
      <c r="J20" s="7">
        <v>8750</v>
      </c>
    </row>
    <row r="21" spans="2:19" x14ac:dyDescent="0.25">
      <c r="B21" s="1" t="s">
        <v>30</v>
      </c>
      <c r="C21" s="1"/>
      <c r="D21" s="4">
        <f>SUM(D19:D20)</f>
        <v>55800</v>
      </c>
      <c r="E21" s="4">
        <f>G21-D21</f>
        <v>-1800</v>
      </c>
      <c r="F21" s="71" t="s">
        <v>77</v>
      </c>
      <c r="G21" s="4">
        <f>SUM(G19:G20)</f>
        <v>54000</v>
      </c>
      <c r="H21" s="4">
        <f>SUM(H19:H20)</f>
        <v>-1500</v>
      </c>
      <c r="I21" s="78" t="s">
        <v>77</v>
      </c>
      <c r="J21" s="4">
        <f>SUM(J19:J20)</f>
        <v>52500</v>
      </c>
    </row>
    <row r="22" spans="2:19" x14ac:dyDescent="0.25">
      <c r="B22" s="1"/>
      <c r="C22" s="1"/>
      <c r="D22" s="4"/>
      <c r="E22" s="4"/>
      <c r="F22" s="71"/>
      <c r="G22" s="4"/>
      <c r="H22" s="4"/>
      <c r="I22" s="71"/>
      <c r="J22" s="4"/>
    </row>
    <row r="23" spans="2:19" ht="15.75" thickBot="1" x14ac:dyDescent="0.3">
      <c r="B23" s="10" t="s">
        <v>11</v>
      </c>
      <c r="C23" s="10"/>
      <c r="D23" s="14">
        <f>D16+D21</f>
        <v>735800</v>
      </c>
      <c r="E23" s="14">
        <f>G23-D23</f>
        <v>-9000</v>
      </c>
      <c r="F23" s="79" t="s">
        <v>77</v>
      </c>
      <c r="G23" s="14">
        <f>G16+G21</f>
        <v>726800</v>
      </c>
      <c r="H23" s="14">
        <f>H16+H21</f>
        <v>-24300</v>
      </c>
      <c r="I23" s="88" t="s">
        <v>77</v>
      </c>
      <c r="J23" s="14">
        <f>J16+J21</f>
        <v>702500</v>
      </c>
    </row>
    <row r="24" spans="2:19" x14ac:dyDescent="0.25">
      <c r="D24" s="4"/>
      <c r="E24" s="4"/>
      <c r="F24" s="71"/>
      <c r="G24" s="4"/>
      <c r="H24" s="4"/>
      <c r="I24" s="71"/>
      <c r="J24" s="4"/>
    </row>
    <row r="25" spans="2:19" x14ac:dyDescent="0.25">
      <c r="B25" t="s">
        <v>12</v>
      </c>
      <c r="D25" s="4">
        <f>D11-D23</f>
        <v>194200</v>
      </c>
      <c r="E25" s="4">
        <f>G25-D25</f>
        <v>-21000</v>
      </c>
      <c r="F25" s="71" t="s">
        <v>77</v>
      </c>
      <c r="G25" s="4">
        <f>G11-G23</f>
        <v>173200</v>
      </c>
      <c r="H25" s="4">
        <f>G25-J25</f>
        <v>700</v>
      </c>
      <c r="I25" s="78" t="s">
        <v>76</v>
      </c>
      <c r="J25" s="4">
        <f>J11-J23</f>
        <v>172500</v>
      </c>
    </row>
    <row r="26" spans="2:19" x14ac:dyDescent="0.25">
      <c r="D26" s="4"/>
      <c r="E26" s="4"/>
      <c r="F26" s="71"/>
      <c r="G26" s="4"/>
      <c r="H26" s="4"/>
      <c r="I26" s="71"/>
      <c r="J26" s="4"/>
    </row>
    <row r="27" spans="2:19" x14ac:dyDescent="0.25">
      <c r="B27" t="s">
        <v>13</v>
      </c>
      <c r="D27" s="4"/>
      <c r="E27" s="4"/>
      <c r="F27" s="71"/>
      <c r="G27" s="4"/>
      <c r="H27" s="4"/>
      <c r="I27" s="71"/>
      <c r="J27" s="4"/>
    </row>
    <row r="28" spans="2:19" x14ac:dyDescent="0.25">
      <c r="C28" t="s">
        <v>18</v>
      </c>
      <c r="D28" s="4">
        <v>49600</v>
      </c>
      <c r="E28" s="4">
        <f>G28-D28</f>
        <v>-49600</v>
      </c>
      <c r="F28" s="71" t="s">
        <v>77</v>
      </c>
      <c r="G28" s="4">
        <v>0</v>
      </c>
      <c r="H28" s="16">
        <f t="shared" ref="H28:H33" si="1">J28-G28</f>
        <v>0</v>
      </c>
      <c r="I28" s="78"/>
      <c r="J28" s="4">
        <v>0</v>
      </c>
      <c r="K28" t="s">
        <v>127</v>
      </c>
      <c r="R28" t="s">
        <v>130</v>
      </c>
    </row>
    <row r="29" spans="2:19" x14ac:dyDescent="0.25">
      <c r="C29" t="s">
        <v>31</v>
      </c>
      <c r="D29" s="4">
        <f>14000+12000+1900</f>
        <v>27900</v>
      </c>
      <c r="E29" s="4">
        <f t="shared" ref="E29:E33" si="2">G29-D29</f>
        <v>-600</v>
      </c>
      <c r="F29" s="71" t="s">
        <v>77</v>
      </c>
      <c r="G29" s="4">
        <f>J29</f>
        <v>27300</v>
      </c>
      <c r="H29" s="16">
        <f t="shared" si="1"/>
        <v>0</v>
      </c>
      <c r="I29" s="78"/>
      <c r="J29" s="4">
        <f>9100*3</f>
        <v>27300</v>
      </c>
      <c r="R29" t="s">
        <v>1</v>
      </c>
      <c r="S29">
        <v>7800</v>
      </c>
    </row>
    <row r="30" spans="2:19" x14ac:dyDescent="0.25">
      <c r="C30" t="s">
        <v>32</v>
      </c>
      <c r="D30" s="4">
        <f>11000+9000+1300</f>
        <v>21300</v>
      </c>
      <c r="E30" s="4">
        <f t="shared" si="2"/>
        <v>-600</v>
      </c>
      <c r="F30" s="71" t="s">
        <v>77</v>
      </c>
      <c r="G30" s="4">
        <f>J30</f>
        <v>20700</v>
      </c>
      <c r="H30" s="16">
        <f t="shared" si="1"/>
        <v>0</v>
      </c>
      <c r="I30" s="78"/>
      <c r="J30" s="4">
        <f>6900*3</f>
        <v>20700</v>
      </c>
      <c r="R30" t="s">
        <v>2</v>
      </c>
      <c r="S30">
        <v>2800</v>
      </c>
    </row>
    <row r="31" spans="2:19" x14ac:dyDescent="0.25">
      <c r="B31" s="1"/>
      <c r="C31" s="1" t="s">
        <v>14</v>
      </c>
      <c r="D31" s="4">
        <v>38500</v>
      </c>
      <c r="E31" s="4">
        <f t="shared" si="2"/>
        <v>-2500</v>
      </c>
      <c r="F31" s="71" t="s">
        <v>77</v>
      </c>
      <c r="G31" s="4">
        <f>J31</f>
        <v>36000</v>
      </c>
      <c r="H31" s="16">
        <f t="shared" si="1"/>
        <v>0</v>
      </c>
      <c r="I31" s="78"/>
      <c r="J31" s="4">
        <v>36000</v>
      </c>
      <c r="R31" s="2" t="s">
        <v>128</v>
      </c>
      <c r="S31" s="2">
        <v>39000</v>
      </c>
    </row>
    <row r="32" spans="2:19" x14ac:dyDescent="0.25">
      <c r="B32" s="1"/>
      <c r="C32" s="1" t="s">
        <v>15</v>
      </c>
      <c r="D32" s="4">
        <v>18500</v>
      </c>
      <c r="E32" s="4">
        <f t="shared" si="2"/>
        <v>-1000</v>
      </c>
      <c r="F32" s="71" t="s">
        <v>77</v>
      </c>
      <c r="G32" s="4">
        <f>J32</f>
        <v>17500</v>
      </c>
      <c r="H32" s="16">
        <f t="shared" si="1"/>
        <v>0</v>
      </c>
      <c r="I32" s="78"/>
      <c r="J32" s="4">
        <v>17500</v>
      </c>
      <c r="R32" t="s">
        <v>129</v>
      </c>
      <c r="S32">
        <f>SUM(S29:S31)</f>
        <v>49600</v>
      </c>
    </row>
    <row r="33" spans="2:10" x14ac:dyDescent="0.25">
      <c r="B33" s="10" t="s">
        <v>16</v>
      </c>
      <c r="C33" s="10"/>
      <c r="D33" s="14">
        <f>SUM(D28:D32)</f>
        <v>155800</v>
      </c>
      <c r="E33" s="14">
        <f t="shared" si="2"/>
        <v>-54300</v>
      </c>
      <c r="F33" s="79" t="s">
        <v>77</v>
      </c>
      <c r="G33" s="14">
        <f>SUM(G28:G32)</f>
        <v>101500</v>
      </c>
      <c r="H33" s="75">
        <f t="shared" si="1"/>
        <v>0</v>
      </c>
      <c r="I33" s="83"/>
      <c r="J33" s="14">
        <f>SUM(J28:J32)</f>
        <v>101500</v>
      </c>
    </row>
    <row r="34" spans="2:10" x14ac:dyDescent="0.25">
      <c r="D34" s="4"/>
      <c r="E34" s="4"/>
      <c r="F34" s="71"/>
      <c r="G34" s="4"/>
      <c r="H34" s="4"/>
      <c r="I34" s="71"/>
      <c r="J34" s="4"/>
    </row>
    <row r="35" spans="2:10" ht="15.75" thickBot="1" x14ac:dyDescent="0.3">
      <c r="B35" s="3" t="s">
        <v>17</v>
      </c>
      <c r="C35" s="3"/>
      <c r="D35" s="8">
        <f>D25-D33</f>
        <v>38400</v>
      </c>
      <c r="E35" s="8">
        <f>D35-G35</f>
        <v>-33300</v>
      </c>
      <c r="F35" s="82" t="s">
        <v>77</v>
      </c>
      <c r="G35" s="8">
        <f>G25-G33</f>
        <v>71700</v>
      </c>
      <c r="H35" s="86">
        <f>G35-J35</f>
        <v>700</v>
      </c>
      <c r="I35" s="87" t="s">
        <v>76</v>
      </c>
      <c r="J35" s="8">
        <f>J25-J33</f>
        <v>71000</v>
      </c>
    </row>
    <row r="36" spans="2:10" ht="15.75" thickTop="1" x14ac:dyDescent="0.25">
      <c r="E36" s="44"/>
      <c r="H36" s="44"/>
    </row>
    <row r="37" spans="2:10" x14ac:dyDescent="0.25">
      <c r="E37" s="44"/>
      <c r="H37" s="44"/>
    </row>
    <row r="38" spans="2:10" x14ac:dyDescent="0.25">
      <c r="E38" s="94">
        <f>E35</f>
        <v>-33300</v>
      </c>
      <c r="F38" s="5" t="s">
        <v>77</v>
      </c>
      <c r="H38" s="94">
        <f>H35</f>
        <v>700</v>
      </c>
      <c r="I38" s="5" t="s">
        <v>76</v>
      </c>
    </row>
    <row r="41" spans="2:10" x14ac:dyDescent="0.25">
      <c r="G41" s="4">
        <f>E38+H38</f>
        <v>-32600</v>
      </c>
      <c r="H41" t="s">
        <v>77</v>
      </c>
    </row>
    <row r="42" spans="2:10" x14ac:dyDescent="0.25">
      <c r="H42" s="4"/>
    </row>
    <row r="43" spans="2:10" x14ac:dyDescent="0.25">
      <c r="G43" s="4"/>
    </row>
  </sheetData>
  <conditionalFormatting sqref="D9:J33">
    <cfRule type="cellIs" dxfId="8" priority="3" operator="lessThan">
      <formula>0</formula>
    </cfRule>
  </conditionalFormatting>
  <conditionalFormatting sqref="H5:H33 E5:E33">
    <cfRule type="cellIs" dxfId="7" priority="2" operator="greaterThan">
      <formula>0</formula>
    </cfRule>
  </conditionalFormatting>
  <conditionalFormatting sqref="H28:H35">
    <cfRule type="cellIs" dxfId="6" priority="1" operator="greaterThan">
      <formula>350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tabSelected="1" topLeftCell="A4" workbookViewId="0">
      <selection activeCell="D29" sqref="D29"/>
    </sheetView>
  </sheetViews>
  <sheetFormatPr defaultRowHeight="15" x14ac:dyDescent="0.25"/>
  <cols>
    <col min="2" max="2" width="4" customWidth="1"/>
    <col min="3" max="3" width="29.5703125" customWidth="1"/>
    <col min="4" max="4" width="21" bestFit="1" customWidth="1"/>
    <col min="5" max="5" width="19.7109375" bestFit="1" customWidth="1"/>
    <col min="6" max="6" width="17.7109375" bestFit="1" customWidth="1"/>
    <col min="7" max="7" width="22.42578125" customWidth="1"/>
    <col min="8" max="8" width="20.85546875" customWidth="1"/>
    <col min="9" max="9" width="20.140625" customWidth="1"/>
    <col min="10" max="10" width="15.5703125" customWidth="1"/>
    <col min="11" max="11" width="13" customWidth="1"/>
    <col min="12" max="12" width="16.140625" bestFit="1" customWidth="1"/>
    <col min="13" max="13" width="14" customWidth="1"/>
    <col min="14" max="14" width="17.7109375" bestFit="1" customWidth="1"/>
    <col min="15" max="15" width="13" customWidth="1"/>
    <col min="16" max="16" width="14.5703125" bestFit="1" customWidth="1"/>
    <col min="17" max="17" width="18" bestFit="1" customWidth="1"/>
  </cols>
  <sheetData>
    <row r="1" spans="4:9" s="46" customFormat="1" x14ac:dyDescent="0.25"/>
    <row r="2" spans="4:9" s="46" customFormat="1" x14ac:dyDescent="0.25">
      <c r="D2" s="96" t="s">
        <v>115</v>
      </c>
      <c r="I2" s="68"/>
    </row>
    <row r="3" spans="4:9" x14ac:dyDescent="0.25">
      <c r="E3" s="5" t="s">
        <v>116</v>
      </c>
      <c r="F3" s="24" t="s">
        <v>117</v>
      </c>
      <c r="G3" s="24" t="s">
        <v>96</v>
      </c>
      <c r="H3" s="24" t="s">
        <v>118</v>
      </c>
      <c r="I3" s="101" t="s">
        <v>87</v>
      </c>
    </row>
    <row r="4" spans="4:9" x14ac:dyDescent="0.25">
      <c r="D4" t="s">
        <v>91</v>
      </c>
      <c r="E4" s="22">
        <v>60000</v>
      </c>
      <c r="F4" s="66">
        <f>339000/60000</f>
        <v>5.65</v>
      </c>
      <c r="G4" s="66">
        <v>5</v>
      </c>
      <c r="H4" s="66">
        <f>F4-G4</f>
        <v>0.65000000000000036</v>
      </c>
      <c r="I4" s="66">
        <f>-H4*E4</f>
        <v>-39000.000000000022</v>
      </c>
    </row>
    <row r="5" spans="4:9" x14ac:dyDescent="0.25">
      <c r="D5" t="s">
        <v>92</v>
      </c>
      <c r="E5" s="22">
        <v>30000</v>
      </c>
      <c r="F5" s="66">
        <v>6</v>
      </c>
      <c r="G5" s="66">
        <v>6</v>
      </c>
      <c r="H5" s="66">
        <f t="shared" ref="H5" si="0">F5-G5</f>
        <v>0</v>
      </c>
      <c r="I5" s="66">
        <f t="shared" ref="I5" si="1">H5*E5</f>
        <v>0</v>
      </c>
    </row>
    <row r="6" spans="4:9" x14ac:dyDescent="0.25">
      <c r="I6" s="95"/>
    </row>
    <row r="7" spans="4:9" s="15" customFormat="1" x14ac:dyDescent="0.25"/>
    <row r="8" spans="4:9" s="15" customFormat="1" x14ac:dyDescent="0.25">
      <c r="D8" s="97" t="s">
        <v>120</v>
      </c>
    </row>
    <row r="9" spans="4:9" s="15" customFormat="1" ht="30" x14ac:dyDescent="0.25">
      <c r="E9" s="24" t="s">
        <v>121</v>
      </c>
      <c r="F9" s="24" t="s">
        <v>122</v>
      </c>
      <c r="G9" s="24" t="s">
        <v>123</v>
      </c>
      <c r="H9" s="24" t="s">
        <v>125</v>
      </c>
      <c r="I9" s="24" t="s">
        <v>124</v>
      </c>
    </row>
    <row r="10" spans="4:9" s="15" customFormat="1" x14ac:dyDescent="0.25">
      <c r="D10" t="s">
        <v>91</v>
      </c>
      <c r="E10" s="98">
        <v>56000</v>
      </c>
      <c r="F10" s="98">
        <v>60000</v>
      </c>
      <c r="G10" s="98">
        <f>F10-E10</f>
        <v>4000</v>
      </c>
      <c r="H10" s="99">
        <v>5</v>
      </c>
      <c r="I10" s="100">
        <f>-G10*H10</f>
        <v>-20000</v>
      </c>
    </row>
    <row r="11" spans="4:9" s="15" customFormat="1" x14ac:dyDescent="0.25">
      <c r="D11" t="s">
        <v>92</v>
      </c>
      <c r="E11" s="98">
        <v>23000</v>
      </c>
      <c r="F11" s="98">
        <v>30000</v>
      </c>
      <c r="G11" s="98">
        <f>F11-E11</f>
        <v>7000</v>
      </c>
      <c r="H11" s="99">
        <v>6</v>
      </c>
      <c r="I11" s="100">
        <f>-G11*H11</f>
        <v>-42000</v>
      </c>
    </row>
    <row r="12" spans="4:9" s="15" customFormat="1" x14ac:dyDescent="0.25">
      <c r="I12" s="100"/>
    </row>
    <row r="14" spans="4:9" x14ac:dyDescent="0.25">
      <c r="D14" s="5" t="s">
        <v>126</v>
      </c>
    </row>
    <row r="15" spans="4:9" x14ac:dyDescent="0.25">
      <c r="E15" s="5" t="s">
        <v>90</v>
      </c>
      <c r="F15" s="5" t="s">
        <v>95</v>
      </c>
      <c r="G15" s="5" t="s">
        <v>134</v>
      </c>
      <c r="H15" s="5" t="s">
        <v>135</v>
      </c>
      <c r="I15" s="5" t="s">
        <v>73</v>
      </c>
    </row>
    <row r="16" spans="4:9" x14ac:dyDescent="0.25">
      <c r="D16" t="s">
        <v>91</v>
      </c>
      <c r="E16" s="22">
        <v>56000</v>
      </c>
      <c r="F16" s="22">
        <v>55000</v>
      </c>
      <c r="G16" s="22">
        <f>E16-F16</f>
        <v>1000</v>
      </c>
      <c r="H16" s="66">
        <v>5</v>
      </c>
      <c r="I16" s="67">
        <f>-G16*H16</f>
        <v>-5000</v>
      </c>
    </row>
    <row r="17" spans="3:10" x14ac:dyDescent="0.25">
      <c r="D17" t="s">
        <v>92</v>
      </c>
      <c r="E17" s="22">
        <v>23000</v>
      </c>
      <c r="F17" s="22">
        <v>22500</v>
      </c>
      <c r="G17" s="22">
        <f t="shared" ref="G17:G19" si="2">E17-F17</f>
        <v>500</v>
      </c>
      <c r="H17" s="66">
        <v>6</v>
      </c>
      <c r="I17" s="67">
        <f t="shared" ref="I17:I21" si="3">-G17*H17</f>
        <v>-3000</v>
      </c>
    </row>
    <row r="18" spans="3:10" x14ac:dyDescent="0.25">
      <c r="D18" t="s">
        <v>93</v>
      </c>
      <c r="E18" s="22">
        <f>9300</f>
        <v>9300</v>
      </c>
      <c r="F18" s="22">
        <f>55000*1/6</f>
        <v>9166.6666666666661</v>
      </c>
      <c r="G18" s="22">
        <f t="shared" si="2"/>
        <v>133.33333333333394</v>
      </c>
      <c r="H18" s="66">
        <v>6</v>
      </c>
      <c r="I18" s="67">
        <f t="shared" si="3"/>
        <v>-800.00000000000364</v>
      </c>
    </row>
    <row r="19" spans="3:10" x14ac:dyDescent="0.25">
      <c r="D19" t="s">
        <v>94</v>
      </c>
      <c r="E19" s="22">
        <f>5600</f>
        <v>5600</v>
      </c>
      <c r="F19" s="22">
        <f>22500/4</f>
        <v>5625</v>
      </c>
      <c r="G19" s="22">
        <f t="shared" si="2"/>
        <v>-25</v>
      </c>
      <c r="H19" s="66">
        <v>8</v>
      </c>
      <c r="I19" s="67">
        <f t="shared" si="3"/>
        <v>200</v>
      </c>
    </row>
    <row r="20" spans="3:10" x14ac:dyDescent="0.25">
      <c r="C20" s="105" t="s">
        <v>145</v>
      </c>
      <c r="D20" t="s">
        <v>98</v>
      </c>
      <c r="E20" s="22">
        <f>E18</f>
        <v>9300</v>
      </c>
      <c r="F20" s="65">
        <f>F18</f>
        <v>9166.6666666666661</v>
      </c>
      <c r="G20" s="22">
        <f>E20-F20</f>
        <v>133.33333333333394</v>
      </c>
      <c r="H20" s="66">
        <v>12</v>
      </c>
      <c r="I20" s="67">
        <f t="shared" si="3"/>
        <v>-1600.0000000000073</v>
      </c>
    </row>
    <row r="21" spans="3:10" x14ac:dyDescent="0.25">
      <c r="C21" s="105"/>
      <c r="D21" t="s">
        <v>99</v>
      </c>
      <c r="E21" s="22">
        <f>E19</f>
        <v>5600</v>
      </c>
      <c r="F21" s="65">
        <f>F19</f>
        <v>5625</v>
      </c>
      <c r="G21" s="22">
        <f>E21-F21</f>
        <v>-25</v>
      </c>
      <c r="H21" s="66">
        <v>8</v>
      </c>
      <c r="I21" s="67">
        <f t="shared" si="3"/>
        <v>200</v>
      </c>
    </row>
    <row r="22" spans="3:10" x14ac:dyDescent="0.25">
      <c r="C22" s="106"/>
      <c r="F22" s="65"/>
      <c r="G22" s="22"/>
      <c r="H22" s="66"/>
      <c r="I22" s="67"/>
    </row>
    <row r="23" spans="3:10" x14ac:dyDescent="0.25">
      <c r="C23" s="106" t="s">
        <v>144</v>
      </c>
      <c r="D23" t="s">
        <v>138</v>
      </c>
      <c r="F23" s="65"/>
      <c r="G23" s="22"/>
      <c r="H23" s="66"/>
      <c r="I23" s="67"/>
    </row>
    <row r="24" spans="3:10" x14ac:dyDescent="0.25">
      <c r="C24" s="106"/>
      <c r="E24" t="s">
        <v>139</v>
      </c>
      <c r="F24" s="65" t="s">
        <v>140</v>
      </c>
      <c r="G24" s="22" t="s">
        <v>141</v>
      </c>
      <c r="H24" s="66" t="s">
        <v>142</v>
      </c>
      <c r="I24" s="67" t="s">
        <v>143</v>
      </c>
    </row>
    <row r="25" spans="3:10" x14ac:dyDescent="0.25">
      <c r="D25" s="107" t="s">
        <v>1</v>
      </c>
      <c r="E25">
        <f>43000+50000+19000</f>
        <v>112000</v>
      </c>
      <c r="F25" s="65">
        <f>E25/E18</f>
        <v>12.043010752688172</v>
      </c>
      <c r="G25" s="22">
        <v>12</v>
      </c>
      <c r="H25" s="66">
        <v>0</v>
      </c>
      <c r="I25" s="67">
        <v>0</v>
      </c>
    </row>
    <row r="26" spans="3:10" x14ac:dyDescent="0.25">
      <c r="D26" s="108" t="s">
        <v>2</v>
      </c>
      <c r="E26">
        <f>18000+15000+12000</f>
        <v>45000</v>
      </c>
      <c r="F26" s="65">
        <f>E26/E19</f>
        <v>8.0357142857142865</v>
      </c>
      <c r="G26" s="22">
        <v>8</v>
      </c>
      <c r="H26" s="66">
        <v>0</v>
      </c>
      <c r="I26" s="67">
        <v>0</v>
      </c>
    </row>
    <row r="29" spans="3:10" x14ac:dyDescent="0.25">
      <c r="D29" s="5" t="s">
        <v>131</v>
      </c>
      <c r="F29" s="69" t="s">
        <v>133</v>
      </c>
      <c r="G29" s="69"/>
    </row>
    <row r="30" spans="3:10" ht="45" x14ac:dyDescent="0.25">
      <c r="D30" s="15"/>
      <c r="E30" s="15" t="s">
        <v>119</v>
      </c>
      <c r="F30" s="15" t="s">
        <v>87</v>
      </c>
      <c r="G30" t="s">
        <v>132</v>
      </c>
      <c r="H30" s="15" t="s">
        <v>89</v>
      </c>
      <c r="I30" s="15" t="s">
        <v>73</v>
      </c>
      <c r="J30" s="15" t="s">
        <v>42</v>
      </c>
    </row>
    <row r="31" spans="3:10" x14ac:dyDescent="0.25">
      <c r="D31" t="s">
        <v>88</v>
      </c>
      <c r="E31" s="4">
        <v>339000</v>
      </c>
      <c r="F31" s="4">
        <f>I4</f>
        <v>-39000.000000000022</v>
      </c>
      <c r="G31" s="4">
        <f>I10</f>
        <v>-20000</v>
      </c>
      <c r="H31" s="4">
        <f>E16*H16</f>
        <v>280000</v>
      </c>
      <c r="I31" s="4">
        <f>I16</f>
        <v>-5000</v>
      </c>
      <c r="J31" s="4">
        <f>'FLEXIBLE BUD_UNIT COSTS'!F10</f>
        <v>275000</v>
      </c>
    </row>
    <row r="32" spans="3:10" x14ac:dyDescent="0.25">
      <c r="D32" t="s">
        <v>2</v>
      </c>
      <c r="E32" s="4">
        <f>180000</f>
        <v>180000</v>
      </c>
      <c r="F32" s="4">
        <f>I5</f>
        <v>0</v>
      </c>
      <c r="G32" s="4">
        <f>I11</f>
        <v>-42000</v>
      </c>
      <c r="H32" s="4">
        <f>E17*H17</f>
        <v>138000</v>
      </c>
      <c r="I32" s="4">
        <f>I17</f>
        <v>-3000</v>
      </c>
      <c r="J32" s="4">
        <f>'FLEXIBLE BUD_UNIT COSTS'!N10</f>
        <v>135000</v>
      </c>
    </row>
    <row r="33" spans="2:10" x14ac:dyDescent="0.25">
      <c r="E33" s="4"/>
      <c r="F33" s="4"/>
      <c r="G33" s="4"/>
      <c r="H33" s="4"/>
      <c r="I33" s="4"/>
      <c r="J33" s="4"/>
    </row>
    <row r="34" spans="2:10" x14ac:dyDescent="0.25">
      <c r="E34" s="4"/>
      <c r="F34" s="4"/>
      <c r="G34" s="4"/>
      <c r="H34" s="4"/>
      <c r="I34" s="4"/>
      <c r="J34" s="4"/>
    </row>
    <row r="35" spans="2:10" x14ac:dyDescent="0.25">
      <c r="D35" t="s">
        <v>104</v>
      </c>
      <c r="E35" t="s">
        <v>100</v>
      </c>
      <c r="F35" t="s">
        <v>103</v>
      </c>
      <c r="G35" s="65" t="s">
        <v>101</v>
      </c>
      <c r="H35" s="66" t="s">
        <v>102</v>
      </c>
      <c r="I35" s="67" t="s">
        <v>73</v>
      </c>
      <c r="J35" s="4"/>
    </row>
    <row r="36" spans="2:10" x14ac:dyDescent="0.25">
      <c r="D36" t="s">
        <v>98</v>
      </c>
      <c r="E36" s="4">
        <f>43000+50000+19000</f>
        <v>112000</v>
      </c>
      <c r="F36" s="22">
        <f>E18/6</f>
        <v>1550</v>
      </c>
      <c r="G36" s="17">
        <v>2</v>
      </c>
      <c r="H36" s="4">
        <f>F36*G36</f>
        <v>3100</v>
      </c>
      <c r="I36" s="4">
        <f>H36-E36</f>
        <v>-108900</v>
      </c>
      <c r="J36" s="4"/>
    </row>
    <row r="37" spans="2:10" x14ac:dyDescent="0.25">
      <c r="D37" t="s">
        <v>99</v>
      </c>
      <c r="E37" s="4">
        <f>18000+15000+12000</f>
        <v>45000</v>
      </c>
      <c r="F37" s="47">
        <f>E19/4</f>
        <v>1400</v>
      </c>
      <c r="G37" s="90">
        <v>2</v>
      </c>
      <c r="H37" s="4">
        <f>F37*G37</f>
        <v>2800</v>
      </c>
      <c r="I37" s="4">
        <f>H37-E37</f>
        <v>-42200</v>
      </c>
    </row>
    <row r="38" spans="2:10" x14ac:dyDescent="0.25">
      <c r="E38" s="4"/>
      <c r="F38" s="47"/>
      <c r="G38" s="90"/>
      <c r="H38" s="4"/>
      <c r="I38" s="4"/>
    </row>
    <row r="39" spans="2:10" x14ac:dyDescent="0.25">
      <c r="E39" s="4"/>
      <c r="F39" s="47"/>
      <c r="G39" s="90"/>
      <c r="H39" s="4"/>
      <c r="I39" s="4"/>
    </row>
    <row r="40" spans="2:10" x14ac:dyDescent="0.25">
      <c r="E40" s="4"/>
      <c r="F40" s="47"/>
      <c r="G40" s="90"/>
      <c r="H40" s="4"/>
      <c r="I40" s="4"/>
    </row>
    <row r="41" spans="2:10" x14ac:dyDescent="0.25">
      <c r="E41" s="4"/>
      <c r="F41" s="47"/>
      <c r="G41" s="90"/>
      <c r="H41" s="4"/>
      <c r="I41" s="4"/>
    </row>
    <row r="42" spans="2:10" x14ac:dyDescent="0.25">
      <c r="E42" s="4"/>
      <c r="F42" s="4"/>
      <c r="G42" s="4"/>
      <c r="H42" s="4"/>
      <c r="I42" s="4"/>
      <c r="J42" s="4"/>
    </row>
    <row r="43" spans="2:10" ht="30" x14ac:dyDescent="0.25">
      <c r="B43" s="64"/>
      <c r="C43" s="15"/>
      <c r="D43" s="15" t="s">
        <v>3</v>
      </c>
      <c r="E43" s="15" t="s">
        <v>87</v>
      </c>
      <c r="F43" s="24" t="s">
        <v>136</v>
      </c>
      <c r="G43" s="15" t="s">
        <v>73</v>
      </c>
      <c r="H43" s="15" t="s">
        <v>71</v>
      </c>
    </row>
    <row r="44" spans="2:10" x14ac:dyDescent="0.25">
      <c r="B44" t="s">
        <v>5</v>
      </c>
      <c r="D44" s="4"/>
      <c r="E44" s="4"/>
      <c r="F44" s="103"/>
      <c r="H44" s="4"/>
    </row>
    <row r="45" spans="2:10" x14ac:dyDescent="0.25">
      <c r="C45" t="s">
        <v>1</v>
      </c>
      <c r="D45" s="4">
        <v>630000</v>
      </c>
      <c r="E45" s="4">
        <f>D45-F45</f>
        <v>30000</v>
      </c>
      <c r="F45" s="103">
        <f>60000*10</f>
        <v>600000</v>
      </c>
      <c r="G45" s="4">
        <f>F45-H45</f>
        <v>0</v>
      </c>
      <c r="H45" s="4">
        <v>600000</v>
      </c>
    </row>
    <row r="46" spans="2:10" x14ac:dyDescent="0.25">
      <c r="B46" s="1"/>
      <c r="C46" s="1" t="s">
        <v>2</v>
      </c>
      <c r="D46" s="4">
        <v>300000</v>
      </c>
      <c r="E46" s="4">
        <f>D46-F46</f>
        <v>0</v>
      </c>
      <c r="F46" s="103">
        <f>20000*15</f>
        <v>300000</v>
      </c>
      <c r="G46" s="4">
        <f>F46-H46</f>
        <v>0</v>
      </c>
      <c r="H46" s="4">
        <v>300000</v>
      </c>
    </row>
    <row r="47" spans="2:10" x14ac:dyDescent="0.25">
      <c r="B47" s="10" t="s">
        <v>6</v>
      </c>
      <c r="C47" s="10"/>
      <c r="D47" s="14">
        <f>SUM(D45:D46)</f>
        <v>930000</v>
      </c>
      <c r="E47" s="14">
        <f>SUM(E45:E46)</f>
        <v>30000</v>
      </c>
      <c r="F47" s="12">
        <f>SUM(F45:F46)</f>
        <v>900000</v>
      </c>
      <c r="G47" s="14">
        <f>F47-H47</f>
        <v>0</v>
      </c>
      <c r="H47" s="14">
        <v>900000</v>
      </c>
    </row>
    <row r="48" spans="2:10" x14ac:dyDescent="0.25">
      <c r="D48" s="4"/>
      <c r="E48" s="4"/>
      <c r="F48" s="103"/>
      <c r="G48" s="4"/>
      <c r="H48" s="4"/>
    </row>
    <row r="49" spans="2:8" x14ac:dyDescent="0.25">
      <c r="B49" s="1" t="s">
        <v>28</v>
      </c>
      <c r="C49" s="1"/>
      <c r="D49" s="6"/>
      <c r="E49" s="6"/>
      <c r="F49" s="9"/>
      <c r="G49" s="6"/>
      <c r="H49" s="6"/>
    </row>
    <row r="50" spans="2:8" x14ac:dyDescent="0.25">
      <c r="B50" s="1" t="s">
        <v>1</v>
      </c>
      <c r="C50" s="1"/>
      <c r="E50" s="6"/>
      <c r="F50" s="9"/>
      <c r="G50" s="4"/>
    </row>
    <row r="51" spans="2:8" x14ac:dyDescent="0.25">
      <c r="B51" s="1"/>
      <c r="C51" s="1" t="s">
        <v>35</v>
      </c>
      <c r="D51" s="6">
        <v>280000</v>
      </c>
      <c r="E51" s="6"/>
      <c r="F51" s="9"/>
      <c r="G51" s="4"/>
      <c r="H51" s="6">
        <f>'FLEXIBLE BUD_UNIT COSTS'!F10</f>
        <v>275000</v>
      </c>
    </row>
    <row r="52" spans="2:8" x14ac:dyDescent="0.25">
      <c r="B52" s="1"/>
      <c r="C52" s="1" t="s">
        <v>36</v>
      </c>
      <c r="D52" s="6">
        <v>55800</v>
      </c>
      <c r="E52" s="6"/>
      <c r="F52" s="9"/>
      <c r="G52" s="6"/>
      <c r="H52" s="6">
        <f>'FLEXIBLE BUD_UNIT COSTS'!F11</f>
        <v>55000</v>
      </c>
    </row>
    <row r="53" spans="2:8" x14ac:dyDescent="0.25">
      <c r="B53" s="1"/>
      <c r="C53" s="53" t="s">
        <v>137</v>
      </c>
      <c r="D53" s="7">
        <f>E36</f>
        <v>112000</v>
      </c>
      <c r="E53" s="7"/>
      <c r="F53" s="104"/>
      <c r="G53" s="7"/>
      <c r="H53" s="7">
        <f>'FLEXIBLE BUD_UNIT COSTS'!F12</f>
        <v>110000</v>
      </c>
    </row>
    <row r="54" spans="2:8" x14ac:dyDescent="0.25">
      <c r="B54" s="1"/>
      <c r="C54" s="1" t="s">
        <v>146</v>
      </c>
      <c r="D54" s="6">
        <f>SUM(D51:D53)</f>
        <v>447800</v>
      </c>
      <c r="E54" s="6"/>
      <c r="F54" s="9"/>
      <c r="G54" s="4"/>
      <c r="H54" s="6">
        <f>SUM(H51:H53)</f>
        <v>440000</v>
      </c>
    </row>
    <row r="55" spans="2:8" x14ac:dyDescent="0.25">
      <c r="B55" s="1" t="s">
        <v>2</v>
      </c>
      <c r="C55" s="1"/>
      <c r="D55" s="6"/>
      <c r="E55" s="6"/>
      <c r="F55" s="9"/>
      <c r="G55" s="6"/>
      <c r="H55" s="6"/>
    </row>
    <row r="56" spans="2:8" x14ac:dyDescent="0.25">
      <c r="B56" s="1"/>
      <c r="C56" s="1" t="s">
        <v>35</v>
      </c>
      <c r="D56" s="6">
        <v>138000</v>
      </c>
      <c r="E56" s="6"/>
      <c r="F56" s="9"/>
      <c r="G56" s="6"/>
      <c r="H56" s="6">
        <f>'FLEXIBLE BUD_UNIT COSTS'!N10</f>
        <v>135000</v>
      </c>
    </row>
    <row r="57" spans="2:8" x14ac:dyDescent="0.25">
      <c r="B57" s="1"/>
      <c r="C57" s="1" t="s">
        <v>36</v>
      </c>
      <c r="D57" s="6">
        <v>44800</v>
      </c>
      <c r="E57" s="6"/>
      <c r="F57" s="9"/>
      <c r="G57" s="6"/>
      <c r="H57" s="6">
        <f>'FLEXIBLE BUD_UNIT COSTS'!N11</f>
        <v>45000</v>
      </c>
    </row>
    <row r="58" spans="2:8" x14ac:dyDescent="0.25">
      <c r="B58" s="1"/>
      <c r="C58" s="53" t="s">
        <v>137</v>
      </c>
      <c r="D58" s="7">
        <f>E37</f>
        <v>45000</v>
      </c>
      <c r="E58" s="7"/>
      <c r="F58" s="104"/>
      <c r="G58" s="7"/>
      <c r="H58" s="7">
        <f>'FLEXIBLE BUD_UNIT COSTS'!N12</f>
        <v>45000</v>
      </c>
    </row>
    <row r="59" spans="2:8" x14ac:dyDescent="0.25">
      <c r="B59" s="1"/>
      <c r="C59" s="48" t="s">
        <v>147</v>
      </c>
      <c r="D59" s="6">
        <f>SUM(D56:D58)</f>
        <v>227800</v>
      </c>
      <c r="E59" s="6"/>
      <c r="F59" s="9"/>
      <c r="G59" s="4"/>
      <c r="H59" s="6">
        <f>SUM(H56:H58)</f>
        <v>225000</v>
      </c>
    </row>
    <row r="60" spans="2:8" x14ac:dyDescent="0.25">
      <c r="B60" s="10" t="s">
        <v>114</v>
      </c>
      <c r="C60" s="10"/>
      <c r="D60" s="14">
        <f>D59+D54</f>
        <v>675600</v>
      </c>
      <c r="E60" s="14"/>
      <c r="F60" s="14">
        <f>F59+F54</f>
        <v>0</v>
      </c>
      <c r="G60" s="14"/>
      <c r="H60" s="14">
        <f>H59+H54</f>
        <v>665000</v>
      </c>
    </row>
    <row r="61" spans="2:8" x14ac:dyDescent="0.25">
      <c r="D61" s="4"/>
      <c r="E61" s="4"/>
      <c r="F61" s="103"/>
      <c r="G61" s="4"/>
      <c r="H61" s="4"/>
    </row>
    <row r="62" spans="2:8" x14ac:dyDescent="0.25">
      <c r="B62" t="s">
        <v>29</v>
      </c>
      <c r="D62" s="4"/>
      <c r="E62" s="4"/>
      <c r="F62" s="103"/>
      <c r="G62" s="4"/>
      <c r="H62" s="4"/>
    </row>
    <row r="63" spans="2:8" x14ac:dyDescent="0.25">
      <c r="B63" s="1"/>
      <c r="C63" s="1" t="s">
        <v>74</v>
      </c>
      <c r="D63" s="4">
        <v>46500</v>
      </c>
      <c r="E63" s="4"/>
      <c r="F63" s="103">
        <f>F46*0.05</f>
        <v>15000</v>
      </c>
      <c r="G63" s="4">
        <f>F63-H63</f>
        <v>-30000</v>
      </c>
      <c r="H63" s="4">
        <v>45000</v>
      </c>
    </row>
    <row r="64" spans="2:8" x14ac:dyDescent="0.25">
      <c r="B64" s="2"/>
      <c r="C64" s="2" t="s">
        <v>75</v>
      </c>
      <c r="D64" s="7">
        <v>9300</v>
      </c>
      <c r="E64" s="7"/>
      <c r="F64" s="104"/>
      <c r="G64" s="4">
        <f>F64-H64</f>
        <v>-9000</v>
      </c>
      <c r="H64" s="7">
        <v>9000</v>
      </c>
    </row>
    <row r="65" spans="2:8" x14ac:dyDescent="0.25">
      <c r="B65" s="1" t="s">
        <v>30</v>
      </c>
      <c r="C65" s="1"/>
      <c r="D65" s="4">
        <f>SUM(D63:D64)</f>
        <v>55800</v>
      </c>
      <c r="E65" s="4"/>
      <c r="F65" s="103">
        <f>SUM(F63:F64)</f>
        <v>15000</v>
      </c>
      <c r="G65" s="4">
        <f>J65-F65</f>
        <v>-15000</v>
      </c>
      <c r="H65" s="4">
        <v>54000</v>
      </c>
    </row>
    <row r="66" spans="2:8" x14ac:dyDescent="0.25">
      <c r="B66" s="1"/>
      <c r="C66" s="1"/>
      <c r="D66" s="4"/>
      <c r="E66" s="4"/>
      <c r="F66" s="103"/>
      <c r="G66" s="4"/>
      <c r="H66" s="4"/>
    </row>
    <row r="67" spans="2:8" x14ac:dyDescent="0.25">
      <c r="B67" s="10" t="s">
        <v>11</v>
      </c>
      <c r="C67" s="10"/>
      <c r="D67" s="14">
        <f>D60+D65</f>
        <v>731400</v>
      </c>
      <c r="E67" s="14"/>
      <c r="F67" s="12">
        <f>F60+F65</f>
        <v>15000</v>
      </c>
      <c r="G67" s="14">
        <f>J67-F67</f>
        <v>-15000</v>
      </c>
      <c r="H67" s="14">
        <v>726800</v>
      </c>
    </row>
    <row r="68" spans="2:8" x14ac:dyDescent="0.25">
      <c r="D68" s="4"/>
      <c r="E68" s="4"/>
      <c r="F68" s="71"/>
      <c r="G68" s="4"/>
      <c r="H68" s="4"/>
    </row>
    <row r="69" spans="2:8" x14ac:dyDescent="0.25">
      <c r="B69" t="s">
        <v>12</v>
      </c>
      <c r="D69" s="4">
        <f>D47-D67</f>
        <v>198600</v>
      </c>
      <c r="E69" s="4"/>
      <c r="F69" s="4">
        <f>F47-F67</f>
        <v>885000</v>
      </c>
      <c r="G69" s="4">
        <f>J69-F69</f>
        <v>-885000</v>
      </c>
      <c r="H69" s="4">
        <v>173200</v>
      </c>
    </row>
    <row r="70" spans="2:8" x14ac:dyDescent="0.25">
      <c r="D70" s="4"/>
      <c r="E70" s="4"/>
      <c r="F70" s="71"/>
      <c r="G70" s="4"/>
      <c r="H70" s="4"/>
    </row>
    <row r="71" spans="2:8" x14ac:dyDescent="0.25">
      <c r="B71" t="s">
        <v>13</v>
      </c>
      <c r="D71" s="4"/>
      <c r="E71" s="4"/>
      <c r="F71" s="71"/>
      <c r="G71" s="4"/>
      <c r="H71" s="4"/>
    </row>
    <row r="72" spans="2:8" x14ac:dyDescent="0.25">
      <c r="C72" t="s">
        <v>18</v>
      </c>
      <c r="D72" s="4">
        <v>49600</v>
      </c>
      <c r="E72" s="4"/>
      <c r="F72" s="71"/>
      <c r="G72" s="4">
        <f>F72-H72</f>
        <v>0</v>
      </c>
      <c r="H72" s="4">
        <v>0</v>
      </c>
    </row>
    <row r="73" spans="2:8" x14ac:dyDescent="0.25">
      <c r="C73" t="s">
        <v>31</v>
      </c>
      <c r="D73" s="4">
        <f>14000+12000+1900</f>
        <v>27900</v>
      </c>
      <c r="E73" s="4"/>
      <c r="F73" s="71"/>
      <c r="G73" s="4">
        <f>F73-H73</f>
        <v>-27300</v>
      </c>
      <c r="H73" s="4">
        <v>27300</v>
      </c>
    </row>
    <row r="74" spans="2:8" x14ac:dyDescent="0.25">
      <c r="C74" t="s">
        <v>32</v>
      </c>
      <c r="D74" s="4">
        <f>11000+9000+1300</f>
        <v>21300</v>
      </c>
      <c r="E74" s="4"/>
      <c r="F74" s="71"/>
      <c r="G74" s="4">
        <f>F74-H74</f>
        <v>-20700</v>
      </c>
      <c r="H74" s="4">
        <v>20700</v>
      </c>
    </row>
    <row r="75" spans="2:8" x14ac:dyDescent="0.25">
      <c r="B75" s="1"/>
      <c r="C75" s="1" t="s">
        <v>14</v>
      </c>
      <c r="D75" s="4">
        <v>38500</v>
      </c>
      <c r="E75" s="4"/>
      <c r="F75" s="71"/>
      <c r="G75" s="4">
        <f>F75-H75</f>
        <v>-36000</v>
      </c>
      <c r="H75" s="4">
        <v>36000</v>
      </c>
    </row>
    <row r="76" spans="2:8" x14ac:dyDescent="0.25">
      <c r="B76" s="1"/>
      <c r="C76" s="1" t="s">
        <v>15</v>
      </c>
      <c r="D76" s="4">
        <v>18500</v>
      </c>
      <c r="E76" s="4"/>
      <c r="F76" s="71"/>
      <c r="G76" s="4">
        <f>F76-H76</f>
        <v>-17500</v>
      </c>
      <c r="H76" s="4">
        <v>17500</v>
      </c>
    </row>
    <row r="77" spans="2:8" x14ac:dyDescent="0.25">
      <c r="B77" s="10" t="s">
        <v>16</v>
      </c>
      <c r="C77" s="10"/>
      <c r="D77" s="14">
        <f>SUM(D72:D76)</f>
        <v>155800</v>
      </c>
      <c r="E77" s="14"/>
      <c r="F77" s="14">
        <f>SUM(F72:F76)</f>
        <v>0</v>
      </c>
      <c r="G77" s="14">
        <f>J77-F77</f>
        <v>0</v>
      </c>
      <c r="H77" s="14">
        <v>101500</v>
      </c>
    </row>
    <row r="78" spans="2:8" x14ac:dyDescent="0.25">
      <c r="D78" s="4"/>
      <c r="E78" s="4"/>
      <c r="F78" s="71"/>
      <c r="G78" s="4"/>
      <c r="H78" s="4"/>
    </row>
    <row r="79" spans="2:8" ht="15.75" thickBot="1" x14ac:dyDescent="0.3">
      <c r="B79" s="3" t="s">
        <v>17</v>
      </c>
      <c r="C79" s="3"/>
      <c r="D79" s="8">
        <f>D69-D77</f>
        <v>42800</v>
      </c>
      <c r="E79" s="8"/>
      <c r="F79" s="8">
        <f>F69-F77</f>
        <v>885000</v>
      </c>
      <c r="G79" s="8">
        <f>F79-J79</f>
        <v>885000</v>
      </c>
      <c r="H79" s="8">
        <v>71700</v>
      </c>
    </row>
    <row r="80" spans="2:8" ht="15.75" thickTop="1" x14ac:dyDescent="0.25"/>
  </sheetData>
  <mergeCells count="2">
    <mergeCell ref="F29:G29"/>
    <mergeCell ref="C20:C21"/>
  </mergeCells>
  <conditionalFormatting sqref="I16:I19 I4:I5 I10:I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D45:F49 E50:F50 H45:H49 G45:G77 D51:F77 H51:H77">
    <cfRule type="cellIs" dxfId="3" priority="3" operator="lessThan">
      <formula>0</formula>
    </cfRule>
  </conditionalFormatting>
  <conditionalFormatting sqref="E44:E77 G45:G77">
    <cfRule type="cellIs" dxfId="2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workbookViewId="0">
      <selection activeCell="F11" sqref="F11"/>
    </sheetView>
  </sheetViews>
  <sheetFormatPr defaultRowHeight="15" x14ac:dyDescent="0.25"/>
  <cols>
    <col min="2" max="2" width="4.140625" customWidth="1"/>
    <col min="3" max="3" width="33.7109375" customWidth="1"/>
    <col min="4" max="6" width="12.5703125" bestFit="1" customWidth="1"/>
  </cols>
  <sheetData>
    <row r="3" spans="2:6" ht="30" x14ac:dyDescent="0.25">
      <c r="B3" t="s">
        <v>0</v>
      </c>
      <c r="D3" t="s">
        <v>3</v>
      </c>
      <c r="E3" t="s">
        <v>4</v>
      </c>
      <c r="F3" s="15" t="s">
        <v>85</v>
      </c>
    </row>
    <row r="4" spans="2:6" x14ac:dyDescent="0.25">
      <c r="B4" t="s">
        <v>27</v>
      </c>
    </row>
    <row r="5" spans="2:6" x14ac:dyDescent="0.25">
      <c r="C5" t="s">
        <v>1</v>
      </c>
      <c r="D5" s="16">
        <v>60000</v>
      </c>
      <c r="E5" s="16">
        <v>50000</v>
      </c>
      <c r="F5" s="16">
        <f>D5-E5</f>
        <v>10000</v>
      </c>
    </row>
    <row r="6" spans="2:6" x14ac:dyDescent="0.25">
      <c r="C6" t="s">
        <v>2</v>
      </c>
      <c r="D6" s="16">
        <v>20000</v>
      </c>
      <c r="E6" s="16">
        <v>25000</v>
      </c>
      <c r="F6" s="16">
        <f>D6-E6</f>
        <v>-5000</v>
      </c>
    </row>
    <row r="7" spans="2:6" x14ac:dyDescent="0.25">
      <c r="D7" s="16"/>
      <c r="E7" s="16"/>
      <c r="F7" s="16"/>
    </row>
    <row r="8" spans="2:6" x14ac:dyDescent="0.25">
      <c r="B8" t="s">
        <v>86</v>
      </c>
      <c r="D8" s="16"/>
      <c r="E8" s="16"/>
      <c r="F8" s="16"/>
    </row>
    <row r="9" spans="2:6" x14ac:dyDescent="0.25">
      <c r="C9" t="s">
        <v>1</v>
      </c>
      <c r="D9" s="17">
        <f>D13/D5</f>
        <v>10.5</v>
      </c>
      <c r="E9" s="17">
        <v>10</v>
      </c>
      <c r="F9" s="17">
        <v>11</v>
      </c>
    </row>
    <row r="10" spans="2:6" x14ac:dyDescent="0.25">
      <c r="C10" t="s">
        <v>2</v>
      </c>
      <c r="D10" s="17">
        <f>D14/D6</f>
        <v>15</v>
      </c>
      <c r="E10" s="17">
        <v>15</v>
      </c>
      <c r="F10" s="17">
        <v>13.5</v>
      </c>
    </row>
    <row r="11" spans="2:6" x14ac:dyDescent="0.25">
      <c r="D11" s="4"/>
      <c r="E11" s="4"/>
      <c r="F11" s="4"/>
    </row>
    <row r="12" spans="2:6" x14ac:dyDescent="0.25">
      <c r="B12" t="s">
        <v>5</v>
      </c>
      <c r="D12" s="4"/>
      <c r="E12" s="4"/>
      <c r="F12" s="4"/>
    </row>
    <row r="13" spans="2:6" x14ac:dyDescent="0.25">
      <c r="C13" t="s">
        <v>1</v>
      </c>
      <c r="D13" s="4">
        <v>630000</v>
      </c>
      <c r="E13" s="4">
        <v>500000</v>
      </c>
      <c r="F13" s="4"/>
    </row>
    <row r="14" spans="2:6" x14ac:dyDescent="0.25">
      <c r="B14" s="1"/>
      <c r="C14" s="1" t="s">
        <v>2</v>
      </c>
      <c r="D14" s="4">
        <v>300000</v>
      </c>
      <c r="E14" s="4">
        <v>375000</v>
      </c>
      <c r="F14" s="4"/>
    </row>
    <row r="15" spans="2:6" x14ac:dyDescent="0.25">
      <c r="B15" s="10" t="s">
        <v>6</v>
      </c>
      <c r="C15" s="10"/>
      <c r="D15" s="14">
        <f>SUM(D13:D14)</f>
        <v>930000</v>
      </c>
      <c r="E15" s="14">
        <f t="shared" ref="E15" si="0">SUM(E13:E14)</f>
        <v>875000</v>
      </c>
      <c r="F15" s="4"/>
    </row>
    <row r="16" spans="2:6" x14ac:dyDescent="0.25">
      <c r="D16" s="4"/>
      <c r="E16" s="4"/>
      <c r="F16" s="4"/>
    </row>
    <row r="17" spans="2:6" x14ac:dyDescent="0.25">
      <c r="B17" t="s">
        <v>28</v>
      </c>
      <c r="D17" s="4"/>
      <c r="E17" s="4"/>
      <c r="F17" s="4"/>
    </row>
    <row r="18" spans="2:6" x14ac:dyDescent="0.25">
      <c r="C18" t="s">
        <v>7</v>
      </c>
      <c r="D18" s="4">
        <v>480000</v>
      </c>
      <c r="E18" s="4">
        <v>400000</v>
      </c>
      <c r="F18" s="4"/>
    </row>
    <row r="19" spans="2:6" x14ac:dyDescent="0.25">
      <c r="C19" t="s">
        <v>8</v>
      </c>
      <c r="D19" s="4">
        <v>200000</v>
      </c>
      <c r="E19" s="4">
        <v>250000</v>
      </c>
      <c r="F19" s="4"/>
    </row>
    <row r="20" spans="2:6" x14ac:dyDescent="0.25">
      <c r="D20" s="4"/>
      <c r="E20" s="4"/>
      <c r="F20" s="4"/>
    </row>
    <row r="21" spans="2:6" x14ac:dyDescent="0.25">
      <c r="D21" s="4"/>
      <c r="E21" s="4"/>
      <c r="F21" s="4"/>
    </row>
    <row r="22" spans="2:6" x14ac:dyDescent="0.25">
      <c r="B22" t="s">
        <v>29</v>
      </c>
      <c r="D22" s="4"/>
      <c r="E22" s="4"/>
      <c r="F22" s="4"/>
    </row>
    <row r="23" spans="2:6" x14ac:dyDescent="0.25">
      <c r="B23" s="1"/>
      <c r="C23" s="1" t="s">
        <v>9</v>
      </c>
      <c r="D23" s="4">
        <v>46500</v>
      </c>
      <c r="E23" s="4">
        <v>43750</v>
      </c>
      <c r="F23" s="4"/>
    </row>
    <row r="24" spans="2:6" x14ac:dyDescent="0.25">
      <c r="B24" s="2"/>
      <c r="C24" s="2" t="s">
        <v>10</v>
      </c>
      <c r="D24" s="7">
        <v>9300</v>
      </c>
      <c r="E24" s="7">
        <v>8750</v>
      </c>
      <c r="F24" s="4"/>
    </row>
    <row r="25" spans="2:6" x14ac:dyDescent="0.25">
      <c r="B25" s="1" t="s">
        <v>30</v>
      </c>
      <c r="C25" s="1"/>
      <c r="D25" s="4">
        <f>SUM(D23:D24)</f>
        <v>55800</v>
      </c>
      <c r="E25" s="4">
        <f>SUM(E23:E24)</f>
        <v>52500</v>
      </c>
      <c r="F25" s="4"/>
    </row>
    <row r="26" spans="2:6" x14ac:dyDescent="0.25">
      <c r="B26" s="1"/>
      <c r="C26" s="1"/>
      <c r="D26" s="4"/>
      <c r="E26" s="4"/>
      <c r="F26" s="4"/>
    </row>
    <row r="27" spans="2:6" x14ac:dyDescent="0.25">
      <c r="B27" s="10" t="s">
        <v>11</v>
      </c>
      <c r="C27" s="10"/>
      <c r="D27" s="14">
        <f>SUM(D18:D24)</f>
        <v>735800</v>
      </c>
      <c r="E27" s="14">
        <f t="shared" ref="E27" si="1">SUM(E18:E24)</f>
        <v>702500</v>
      </c>
      <c r="F27" s="4"/>
    </row>
    <row r="28" spans="2:6" x14ac:dyDescent="0.25">
      <c r="D28" s="4"/>
      <c r="E28" s="4"/>
      <c r="F28" s="4"/>
    </row>
    <row r="29" spans="2:6" x14ac:dyDescent="0.25">
      <c r="B29" t="s">
        <v>12</v>
      </c>
      <c r="D29" s="4">
        <f>D15-D27</f>
        <v>194200</v>
      </c>
      <c r="E29" s="4">
        <f t="shared" ref="E29" si="2">E15-E27</f>
        <v>172500</v>
      </c>
      <c r="F29" s="4"/>
    </row>
    <row r="30" spans="2:6" x14ac:dyDescent="0.25">
      <c r="D30" s="4"/>
      <c r="E30" s="4"/>
      <c r="F30" s="4"/>
    </row>
    <row r="31" spans="2:6" x14ac:dyDescent="0.25">
      <c r="B31" t="s">
        <v>13</v>
      </c>
      <c r="D31" s="4"/>
      <c r="E31" s="4"/>
      <c r="F31" s="4"/>
    </row>
    <row r="32" spans="2:6" x14ac:dyDescent="0.25">
      <c r="C32" t="s">
        <v>18</v>
      </c>
      <c r="D32" s="4">
        <v>49600</v>
      </c>
      <c r="E32" s="4">
        <v>0</v>
      </c>
      <c r="F32" s="4"/>
    </row>
    <row r="33" spans="2:6" x14ac:dyDescent="0.25">
      <c r="C33" t="s">
        <v>31</v>
      </c>
      <c r="D33" s="4">
        <f>14000+12000+1900</f>
        <v>27900</v>
      </c>
      <c r="E33" s="4">
        <f>9100*3</f>
        <v>27300</v>
      </c>
      <c r="F33" s="4"/>
    </row>
    <row r="34" spans="2:6" x14ac:dyDescent="0.25">
      <c r="C34" t="s">
        <v>32</v>
      </c>
      <c r="D34" s="4">
        <f>11000+9000+1300</f>
        <v>21300</v>
      </c>
      <c r="E34" s="4">
        <f>6900*3</f>
        <v>20700</v>
      </c>
      <c r="F34" s="4"/>
    </row>
    <row r="35" spans="2:6" x14ac:dyDescent="0.25">
      <c r="B35" s="1"/>
      <c r="C35" s="1" t="s">
        <v>14</v>
      </c>
      <c r="D35" s="4">
        <v>38500</v>
      </c>
      <c r="E35" s="4">
        <v>36000</v>
      </c>
      <c r="F35" s="4"/>
    </row>
    <row r="36" spans="2:6" x14ac:dyDescent="0.25">
      <c r="B36" s="1"/>
      <c r="C36" s="1" t="s">
        <v>15</v>
      </c>
      <c r="D36" s="4">
        <v>18500</v>
      </c>
      <c r="E36" s="4">
        <v>17500</v>
      </c>
      <c r="F36" s="4"/>
    </row>
    <row r="37" spans="2:6" x14ac:dyDescent="0.25">
      <c r="B37" s="10" t="s">
        <v>16</v>
      </c>
      <c r="C37" s="10"/>
      <c r="D37" s="14">
        <f>SUM(D32:D36)</f>
        <v>155800</v>
      </c>
      <c r="E37" s="14">
        <f t="shared" ref="E37" si="3">SUM(E32:E36)</f>
        <v>101500</v>
      </c>
      <c r="F37" s="14"/>
    </row>
    <row r="38" spans="2:6" x14ac:dyDescent="0.25">
      <c r="D38" s="4"/>
      <c r="E38" s="4"/>
      <c r="F38" s="4"/>
    </row>
    <row r="39" spans="2:6" ht="15.75" thickBot="1" x14ac:dyDescent="0.3">
      <c r="B39" s="3" t="s">
        <v>17</v>
      </c>
      <c r="C39" s="3"/>
      <c r="D39" s="8">
        <f>D29-D37</f>
        <v>38400</v>
      </c>
      <c r="E39" s="8">
        <f>E29-E37</f>
        <v>71000</v>
      </c>
      <c r="F39" s="8"/>
    </row>
    <row r="40" spans="2:6" ht="15.75" thickTop="1" x14ac:dyDescent="0.25"/>
    <row r="41" spans="2:6" x14ac:dyDescent="0.25">
      <c r="D41" t="s">
        <v>19</v>
      </c>
      <c r="F41" s="4">
        <f>F39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H9"/>
  <sheetViews>
    <sheetView workbookViewId="0">
      <selection activeCell="H10" sqref="H10"/>
    </sheetView>
  </sheetViews>
  <sheetFormatPr defaultRowHeight="15" x14ac:dyDescent="0.25"/>
  <sheetData>
    <row r="6" spans="7:8" x14ac:dyDescent="0.25">
      <c r="G6" t="s">
        <v>105</v>
      </c>
      <c r="H6" t="s">
        <v>106</v>
      </c>
    </row>
    <row r="7" spans="7:8" x14ac:dyDescent="0.25">
      <c r="G7" t="s">
        <v>78</v>
      </c>
      <c r="H7" t="s">
        <v>107</v>
      </c>
    </row>
    <row r="8" spans="7:8" x14ac:dyDescent="0.25">
      <c r="G8" t="s">
        <v>108</v>
      </c>
      <c r="H8" t="s">
        <v>111</v>
      </c>
    </row>
    <row r="9" spans="7:8" x14ac:dyDescent="0.25">
      <c r="G9" t="s">
        <v>109</v>
      </c>
      <c r="H9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2"/>
  <sheetViews>
    <sheetView workbookViewId="0">
      <selection activeCell="D37" sqref="D37:G56"/>
    </sheetView>
  </sheetViews>
  <sheetFormatPr defaultRowHeight="15" x14ac:dyDescent="0.25"/>
  <cols>
    <col min="3" max="3" width="3.42578125" customWidth="1"/>
    <col min="4" max="4" width="33.140625" customWidth="1"/>
    <col min="7" max="7" width="10" bestFit="1" customWidth="1"/>
    <col min="8" max="8" width="10.140625" bestFit="1" customWidth="1"/>
    <col min="9" max="9" width="14.28515625" bestFit="1" customWidth="1"/>
    <col min="10" max="10" width="9.5703125" bestFit="1" customWidth="1"/>
    <col min="11" max="11" width="6.5703125" bestFit="1" customWidth="1"/>
    <col min="12" max="12" width="4.42578125" customWidth="1"/>
    <col min="13" max="13" width="25.7109375" bestFit="1" customWidth="1"/>
    <col min="14" max="14" width="14.42578125" bestFit="1" customWidth="1"/>
    <col min="15" max="16" width="10" bestFit="1" customWidth="1"/>
    <col min="17" max="17" width="9.7109375" bestFit="1" customWidth="1"/>
  </cols>
  <sheetData>
    <row r="3" spans="3:17" x14ac:dyDescent="0.25">
      <c r="C3" s="31"/>
      <c r="D3" s="32"/>
      <c r="E3" s="33" t="s">
        <v>33</v>
      </c>
      <c r="F3" s="32" t="s">
        <v>40</v>
      </c>
      <c r="G3" s="34" t="s">
        <v>41</v>
      </c>
      <c r="K3" s="17"/>
      <c r="L3" s="31"/>
      <c r="M3" s="32"/>
      <c r="N3" s="33" t="s">
        <v>33</v>
      </c>
      <c r="O3" s="32" t="s">
        <v>40</v>
      </c>
      <c r="P3" s="34" t="s">
        <v>41</v>
      </c>
    </row>
    <row r="4" spans="3:17" x14ac:dyDescent="0.25">
      <c r="C4" s="35" t="s">
        <v>27</v>
      </c>
      <c r="D4" s="2"/>
      <c r="E4" s="36">
        <v>50000</v>
      </c>
      <c r="F4" s="36">
        <v>60000</v>
      </c>
      <c r="G4" s="37">
        <v>55000</v>
      </c>
      <c r="L4" s="35" t="s">
        <v>27</v>
      </c>
      <c r="M4" s="2"/>
      <c r="N4" s="36">
        <v>25000</v>
      </c>
      <c r="O4" s="36">
        <v>20000</v>
      </c>
      <c r="P4" s="37">
        <v>22500</v>
      </c>
    </row>
    <row r="6" spans="3:17" ht="30" x14ac:dyDescent="0.25">
      <c r="C6" s="5"/>
      <c r="D6" s="5"/>
      <c r="E6" s="5" t="s">
        <v>22</v>
      </c>
      <c r="F6" s="24" t="s">
        <v>42</v>
      </c>
      <c r="G6" s="24" t="s">
        <v>43</v>
      </c>
      <c r="H6" s="5" t="s">
        <v>25</v>
      </c>
      <c r="I6" s="5"/>
      <c r="J6" s="70" t="s">
        <v>34</v>
      </c>
      <c r="K6" s="70"/>
      <c r="L6" s="5"/>
      <c r="M6" s="5"/>
      <c r="N6" s="5" t="s">
        <v>22</v>
      </c>
      <c r="O6" s="24" t="s">
        <v>42</v>
      </c>
      <c r="P6" s="24" t="s">
        <v>43</v>
      </c>
      <c r="Q6" s="5" t="s">
        <v>25</v>
      </c>
    </row>
    <row r="7" spans="3:17" x14ac:dyDescent="0.25">
      <c r="C7" s="10" t="s">
        <v>23</v>
      </c>
      <c r="D7" s="13"/>
      <c r="E7" s="11">
        <f>500000/50000</f>
        <v>10</v>
      </c>
      <c r="F7" s="12">
        <f>E7*B7</f>
        <v>0</v>
      </c>
      <c r="G7" s="12">
        <v>630000</v>
      </c>
      <c r="H7" s="12">
        <f>G7-F7</f>
        <v>630000</v>
      </c>
      <c r="I7" s="9"/>
      <c r="J7" t="s">
        <v>44</v>
      </c>
      <c r="K7" s="38">
        <v>20000</v>
      </c>
      <c r="L7" s="10" t="s">
        <v>23</v>
      </c>
      <c r="M7" s="13"/>
      <c r="N7" s="12">
        <f>375000/25000</f>
        <v>15</v>
      </c>
      <c r="O7" s="12">
        <v>300000</v>
      </c>
      <c r="P7" s="12">
        <v>300000</v>
      </c>
      <c r="Q7" s="14">
        <f>O7-P7</f>
        <v>0</v>
      </c>
    </row>
    <row r="8" spans="3:17" x14ac:dyDescent="0.25">
      <c r="K8" s="38"/>
      <c r="P8" s="4"/>
    </row>
    <row r="9" spans="3:17" x14ac:dyDescent="0.25">
      <c r="C9" t="s">
        <v>28</v>
      </c>
      <c r="E9" s="17"/>
      <c r="F9" s="18"/>
      <c r="G9" s="18"/>
      <c r="H9" s="18"/>
      <c r="K9" s="39"/>
      <c r="L9" t="s">
        <v>28</v>
      </c>
      <c r="N9" s="17"/>
      <c r="O9" s="18"/>
      <c r="P9" s="4"/>
    </row>
    <row r="10" spans="3:17" x14ac:dyDescent="0.25">
      <c r="D10" t="s">
        <v>35</v>
      </c>
      <c r="E10" s="17">
        <v>5</v>
      </c>
      <c r="F10" s="18">
        <f>E10*B10</f>
        <v>0</v>
      </c>
      <c r="G10" s="18">
        <v>280000</v>
      </c>
      <c r="H10" s="43">
        <f>F10-G10</f>
        <v>-280000</v>
      </c>
      <c r="J10" t="s">
        <v>45</v>
      </c>
      <c r="K10" s="39">
        <v>22500</v>
      </c>
      <c r="M10" t="s">
        <v>35</v>
      </c>
      <c r="N10" s="17">
        <v>6</v>
      </c>
      <c r="O10" s="18">
        <f>K10*N10</f>
        <v>135000</v>
      </c>
      <c r="P10" s="4">
        <v>138000</v>
      </c>
      <c r="Q10" s="18">
        <f>O10-P10</f>
        <v>-3000</v>
      </c>
    </row>
    <row r="11" spans="3:17" x14ac:dyDescent="0.25">
      <c r="D11" t="s">
        <v>36</v>
      </c>
      <c r="E11" s="17">
        <v>1</v>
      </c>
      <c r="F11" s="18">
        <f>E11*B11</f>
        <v>0</v>
      </c>
      <c r="G11" s="18">
        <v>55800</v>
      </c>
      <c r="H11" s="43">
        <f>F11-G11</f>
        <v>-55800</v>
      </c>
      <c r="J11" t="s">
        <v>45</v>
      </c>
      <c r="K11" s="39">
        <v>22500</v>
      </c>
      <c r="L11" s="1"/>
      <c r="M11" s="1" t="s">
        <v>36</v>
      </c>
      <c r="N11" s="23">
        <v>2</v>
      </c>
      <c r="O11" s="30">
        <f>N11*K11</f>
        <v>45000</v>
      </c>
      <c r="P11" s="6">
        <v>44800</v>
      </c>
      <c r="Q11" s="18">
        <f>O11-P11</f>
        <v>200</v>
      </c>
    </row>
    <row r="12" spans="3:17" x14ac:dyDescent="0.25">
      <c r="C12" s="2"/>
      <c r="D12" s="2" t="s">
        <v>37</v>
      </c>
      <c r="E12" s="19">
        <v>2</v>
      </c>
      <c r="F12" s="29">
        <f>E12*B12</f>
        <v>0</v>
      </c>
      <c r="G12" s="29">
        <f>43000+50000+19000</f>
        <v>112000</v>
      </c>
      <c r="H12" s="42">
        <f>F12-G12</f>
        <v>-112000</v>
      </c>
      <c r="J12" t="s">
        <v>45</v>
      </c>
      <c r="K12" s="40">
        <v>22500</v>
      </c>
      <c r="L12" s="2"/>
      <c r="M12" s="2" t="s">
        <v>37</v>
      </c>
      <c r="N12" s="19">
        <v>2</v>
      </c>
      <c r="O12" s="29">
        <f>N12*K12</f>
        <v>45000</v>
      </c>
      <c r="P12" s="7">
        <f>18000+15000+12000</f>
        <v>45000</v>
      </c>
      <c r="Q12" s="29">
        <f>O12-P12</f>
        <v>0</v>
      </c>
    </row>
    <row r="13" spans="3:17" x14ac:dyDescent="0.25">
      <c r="C13" t="s">
        <v>38</v>
      </c>
      <c r="E13" s="17">
        <f>SUM(E10:E12)</f>
        <v>8</v>
      </c>
      <c r="F13" s="18">
        <f>SUM(F10:F12)</f>
        <v>0</v>
      </c>
      <c r="G13" s="18">
        <f>SUM(G10:G12)</f>
        <v>447800</v>
      </c>
      <c r="H13" s="43">
        <f>SUM(H10:H12)</f>
        <v>-447800</v>
      </c>
      <c r="K13" s="39"/>
      <c r="L13" t="s">
        <v>38</v>
      </c>
      <c r="N13" s="17">
        <f>SUM(N10:N12)</f>
        <v>10</v>
      </c>
      <c r="O13" s="18">
        <f>SUM(O10:O12)</f>
        <v>225000</v>
      </c>
      <c r="P13" s="4">
        <f>SUM(P10:P12)</f>
        <v>227800</v>
      </c>
      <c r="Q13" s="18">
        <f>SUM(Q10:Q12)</f>
        <v>-2800</v>
      </c>
    </row>
    <row r="14" spans="3:17" x14ac:dyDescent="0.25">
      <c r="C14" t="s">
        <v>29</v>
      </c>
      <c r="E14" s="17"/>
      <c r="F14" s="18"/>
      <c r="G14" s="18"/>
      <c r="H14" s="18"/>
      <c r="K14" s="39"/>
      <c r="L14" t="s">
        <v>29</v>
      </c>
      <c r="N14" s="17"/>
      <c r="O14" s="18"/>
      <c r="P14" s="4"/>
    </row>
    <row r="15" spans="3:17" x14ac:dyDescent="0.25">
      <c r="C15" s="1"/>
      <c r="D15" s="1" t="s">
        <v>9</v>
      </c>
      <c r="E15" s="23">
        <f>43750/(E4+N4)</f>
        <v>0.58333333333333337</v>
      </c>
      <c r="F15" s="30">
        <f>E15*B15</f>
        <v>0</v>
      </c>
      <c r="G15" s="30">
        <f>46500*G7/(G7+P7)</f>
        <v>31500</v>
      </c>
      <c r="H15" s="30">
        <f>F15-G15</f>
        <v>-31500</v>
      </c>
      <c r="I15" t="s">
        <v>58</v>
      </c>
      <c r="J15" t="s">
        <v>44</v>
      </c>
      <c r="K15" s="39">
        <v>20000</v>
      </c>
      <c r="L15" s="1"/>
      <c r="M15" s="1" t="s">
        <v>9</v>
      </c>
      <c r="N15" s="23">
        <f>43750*N7/(E4*E7+N7*N4)</f>
        <v>0.75</v>
      </c>
      <c r="O15" s="30">
        <f>N15*K15</f>
        <v>15000</v>
      </c>
      <c r="P15" s="6">
        <f>46500*P7/(P7+G7)</f>
        <v>15000</v>
      </c>
      <c r="Q15" s="41">
        <f>O15-P15</f>
        <v>0</v>
      </c>
    </row>
    <row r="16" spans="3:17" x14ac:dyDescent="0.25">
      <c r="C16" s="2"/>
      <c r="D16" s="2" t="s">
        <v>10</v>
      </c>
      <c r="E16" s="19">
        <f>8750/(E4+N4)*E7/(E7+N7)</f>
        <v>4.6666666666666669E-2</v>
      </c>
      <c r="F16" s="29">
        <f>E16*B16</f>
        <v>0</v>
      </c>
      <c r="G16" s="29">
        <f>9300*G7/(G7+P7)</f>
        <v>6300</v>
      </c>
      <c r="H16" s="29">
        <f>F16-G16</f>
        <v>-6300</v>
      </c>
      <c r="I16" t="s">
        <v>58</v>
      </c>
      <c r="J16" t="s">
        <v>44</v>
      </c>
      <c r="K16" s="39">
        <v>20000</v>
      </c>
      <c r="L16" s="2"/>
      <c r="M16" s="2" t="s">
        <v>10</v>
      </c>
      <c r="N16" s="19">
        <f>8750/(E4+N4)*N7/(E7+N7)</f>
        <v>7.0000000000000007E-2</v>
      </c>
      <c r="O16" s="29">
        <f>N16*K16</f>
        <v>1400.0000000000002</v>
      </c>
      <c r="P16" s="7">
        <f>9300*P7/(P7+G7)</f>
        <v>3000</v>
      </c>
      <c r="Q16" s="42">
        <f>O16-P16</f>
        <v>-1599.9999999999998</v>
      </c>
    </row>
    <row r="17" spans="3:17" x14ac:dyDescent="0.25">
      <c r="C17" s="1" t="s">
        <v>30</v>
      </c>
      <c r="D17" s="1"/>
      <c r="E17" s="17">
        <f>SUM(E15:E16)</f>
        <v>0.63</v>
      </c>
      <c r="F17" s="18">
        <f>SUM(F15:F16)</f>
        <v>0</v>
      </c>
      <c r="G17" s="18">
        <f>SUM(G15:G16)</f>
        <v>37800</v>
      </c>
      <c r="H17" s="18">
        <f>SUM(H15:H16)</f>
        <v>-37800</v>
      </c>
      <c r="K17" s="39"/>
      <c r="L17" s="1" t="s">
        <v>30</v>
      </c>
      <c r="M17" s="1"/>
      <c r="N17" s="17">
        <f>SUM(N15:N16)</f>
        <v>0.82000000000000006</v>
      </c>
      <c r="O17" s="18">
        <f>SUM(O15:O16)</f>
        <v>16400</v>
      </c>
      <c r="P17" s="4">
        <f>SUM(P15:P16)</f>
        <v>18000</v>
      </c>
      <c r="Q17" s="43">
        <f>SUM(Q15:Q16)</f>
        <v>-1599.9999999999998</v>
      </c>
    </row>
    <row r="18" spans="3:17" x14ac:dyDescent="0.25">
      <c r="C18" s="1"/>
      <c r="D18" s="1"/>
      <c r="E18" s="17"/>
      <c r="F18" s="18"/>
      <c r="G18" s="18"/>
      <c r="H18" s="18"/>
      <c r="K18" s="39"/>
      <c r="L18" s="1"/>
      <c r="M18" s="1"/>
      <c r="N18" s="17"/>
      <c r="O18" s="18"/>
      <c r="P18" s="4"/>
    </row>
    <row r="19" spans="3:17" x14ac:dyDescent="0.25">
      <c r="C19" s="10" t="s">
        <v>11</v>
      </c>
      <c r="D19" s="10"/>
      <c r="E19" s="20">
        <f>E13+E17</f>
        <v>8.6300000000000008</v>
      </c>
      <c r="F19" s="27">
        <f>F13+F17</f>
        <v>0</v>
      </c>
      <c r="G19" s="27">
        <f>G13+G17</f>
        <v>485600</v>
      </c>
      <c r="H19" s="27">
        <f>H13+H17</f>
        <v>-485600</v>
      </c>
      <c r="I19" s="23"/>
      <c r="K19" s="39"/>
      <c r="L19" s="10" t="s">
        <v>11</v>
      </c>
      <c r="M19" s="10"/>
      <c r="N19" s="20">
        <f>N13+N17</f>
        <v>10.82</v>
      </c>
      <c r="O19" s="27">
        <f>O13+O17</f>
        <v>241400</v>
      </c>
      <c r="P19" s="14">
        <f>P13+P17</f>
        <v>245800</v>
      </c>
      <c r="Q19" s="14">
        <f>O19-P19</f>
        <v>-4400</v>
      </c>
    </row>
    <row r="20" spans="3:17" x14ac:dyDescent="0.25">
      <c r="E20" s="17"/>
      <c r="F20" s="18"/>
      <c r="G20" s="18"/>
      <c r="H20" s="18"/>
      <c r="K20" s="39"/>
      <c r="N20" s="17"/>
      <c r="O20" s="18"/>
      <c r="P20" s="4"/>
      <c r="Q20" s="4"/>
    </row>
    <row r="21" spans="3:17" x14ac:dyDescent="0.25">
      <c r="C21" s="10" t="s">
        <v>12</v>
      </c>
      <c r="D21" s="10"/>
      <c r="E21" s="20">
        <f>E7-E19</f>
        <v>1.3699999999999992</v>
      </c>
      <c r="F21" s="27">
        <f>F7-F19</f>
        <v>0</v>
      </c>
      <c r="G21" s="27">
        <f>G7-G19</f>
        <v>144400</v>
      </c>
      <c r="H21" s="27">
        <f>H7-H19</f>
        <v>1115600</v>
      </c>
      <c r="I21" s="23"/>
      <c r="K21" s="39"/>
      <c r="L21" s="10" t="s">
        <v>12</v>
      </c>
      <c r="M21" s="10"/>
      <c r="N21" s="20">
        <f>N7-N19</f>
        <v>4.18</v>
      </c>
      <c r="O21" s="27">
        <f>O7-O19</f>
        <v>58600</v>
      </c>
      <c r="P21" s="14">
        <f>P7-P19</f>
        <v>54200</v>
      </c>
      <c r="Q21" s="14">
        <f>P21-O21</f>
        <v>-4400</v>
      </c>
    </row>
    <row r="22" spans="3:17" x14ac:dyDescent="0.25">
      <c r="E22" s="17"/>
      <c r="F22" s="18"/>
      <c r="G22" s="18"/>
      <c r="H22" s="18"/>
      <c r="K22" s="39"/>
      <c r="N22" s="17"/>
      <c r="O22" s="18"/>
      <c r="P22" s="4"/>
    </row>
    <row r="23" spans="3:17" x14ac:dyDescent="0.25">
      <c r="C23" t="s">
        <v>13</v>
      </c>
      <c r="E23" s="17"/>
      <c r="F23" s="18"/>
      <c r="G23" s="18"/>
      <c r="H23" s="18"/>
      <c r="K23" s="38"/>
      <c r="L23" t="s">
        <v>13</v>
      </c>
      <c r="N23" s="17"/>
      <c r="O23" s="18"/>
      <c r="P23" s="4"/>
    </row>
    <row r="24" spans="3:17" x14ac:dyDescent="0.25">
      <c r="D24" t="s">
        <v>31</v>
      </c>
      <c r="E24" s="17">
        <v>0.54600000000000004</v>
      </c>
      <c r="F24" s="18">
        <f>E24*B24</f>
        <v>0</v>
      </c>
      <c r="G24" s="18">
        <f>14000+12000+19000</f>
        <v>45000</v>
      </c>
      <c r="H24" s="43">
        <f>F24-G24</f>
        <v>-45000</v>
      </c>
      <c r="J24" t="s">
        <v>45</v>
      </c>
      <c r="K24" s="38">
        <v>22500</v>
      </c>
      <c r="M24" t="s">
        <v>32</v>
      </c>
      <c r="N24" s="17">
        <v>0.82799999999999996</v>
      </c>
      <c r="O24" s="18">
        <f>N24*K24</f>
        <v>18630</v>
      </c>
      <c r="P24" s="4">
        <f>11000+9000+1300</f>
        <v>21300</v>
      </c>
      <c r="Q24" s="18">
        <f>O24-P24</f>
        <v>-2670</v>
      </c>
    </row>
    <row r="25" spans="3:17" x14ac:dyDescent="0.25">
      <c r="C25" s="1"/>
      <c r="D25" s="1" t="s">
        <v>14</v>
      </c>
      <c r="E25" s="17">
        <v>0.48</v>
      </c>
      <c r="F25" s="18">
        <f>E25*B25</f>
        <v>0</v>
      </c>
      <c r="G25" s="18">
        <f>38500*F4/(F4+O4)</f>
        <v>28875</v>
      </c>
      <c r="H25" s="18">
        <f>F25-G25</f>
        <v>-28875</v>
      </c>
      <c r="J25" t="s">
        <v>44</v>
      </c>
      <c r="K25" s="39">
        <v>20000</v>
      </c>
      <c r="L25" s="1"/>
      <c r="M25" s="1" t="s">
        <v>14</v>
      </c>
      <c r="N25" s="17">
        <v>0.48</v>
      </c>
      <c r="O25" s="18">
        <f>N25*K25</f>
        <v>9600</v>
      </c>
      <c r="P25" s="18">
        <f>38500*O4/(F4+O4)</f>
        <v>9625</v>
      </c>
      <c r="Q25" s="18">
        <f>O25-P25</f>
        <v>-25</v>
      </c>
    </row>
    <row r="26" spans="3:17" x14ac:dyDescent="0.25">
      <c r="C26" s="1"/>
      <c r="D26" s="1" t="s">
        <v>15</v>
      </c>
      <c r="E26" s="17">
        <v>0.23333333333333334</v>
      </c>
      <c r="F26" s="18">
        <f>E26*B26</f>
        <v>0</v>
      </c>
      <c r="G26" s="18">
        <f>18500*F4/(F4+O4)</f>
        <v>13875</v>
      </c>
      <c r="H26" s="18">
        <f>F26-G26</f>
        <v>-13875</v>
      </c>
      <c r="J26" t="s">
        <v>44</v>
      </c>
      <c r="K26" s="39">
        <v>20000</v>
      </c>
      <c r="L26" s="1"/>
      <c r="M26" s="1" t="s">
        <v>15</v>
      </c>
      <c r="N26" s="17">
        <v>0.23333333333333334</v>
      </c>
      <c r="O26" s="18">
        <f>N26*K26</f>
        <v>4666.666666666667</v>
      </c>
      <c r="P26" s="18">
        <f>18500*O4/(F4+O4)</f>
        <v>4625</v>
      </c>
      <c r="Q26" s="18">
        <f>O26-P26</f>
        <v>41.66666666666697</v>
      </c>
    </row>
    <row r="27" spans="3:17" x14ac:dyDescent="0.25">
      <c r="C27" s="10" t="s">
        <v>16</v>
      </c>
      <c r="D27" s="10"/>
      <c r="E27" s="20">
        <f>SUM(E24:E26)</f>
        <v>1.2593333333333334</v>
      </c>
      <c r="F27" s="27">
        <f>SUM(F24:F26)</f>
        <v>0</v>
      </c>
      <c r="G27" s="27">
        <f>SUM(G24:G26)</f>
        <v>87750</v>
      </c>
      <c r="H27" s="27">
        <f>SUM(H24:H26)</f>
        <v>-87750</v>
      </c>
      <c r="I27" s="1"/>
      <c r="J27" s="1"/>
      <c r="K27" s="39"/>
      <c r="L27" s="10" t="s">
        <v>16</v>
      </c>
      <c r="M27" s="10"/>
      <c r="N27" s="20">
        <v>1.5413333333333332</v>
      </c>
      <c r="O27" s="27">
        <f>SUM(O24:O26)</f>
        <v>32896.666666666664</v>
      </c>
      <c r="P27" s="14">
        <f>SUM(P24:P26)</f>
        <v>35550</v>
      </c>
      <c r="Q27" s="27">
        <f>O27-P27</f>
        <v>-2653.3333333333358</v>
      </c>
    </row>
    <row r="28" spans="3:17" x14ac:dyDescent="0.25">
      <c r="C28" s="1"/>
      <c r="D28" s="1"/>
      <c r="E28" s="23"/>
      <c r="F28" s="18"/>
      <c r="G28" s="18"/>
      <c r="H28" s="30"/>
      <c r="I28" s="1"/>
      <c r="J28" s="1"/>
      <c r="K28" s="26"/>
      <c r="L28" s="1"/>
      <c r="M28" s="1"/>
      <c r="N28" s="23"/>
      <c r="O28" s="18"/>
      <c r="P28" s="6"/>
    </row>
    <row r="29" spans="3:17" x14ac:dyDescent="0.25">
      <c r="C29" t="s">
        <v>39</v>
      </c>
      <c r="F29" s="4"/>
      <c r="G29" s="4">
        <f>339000-280000</f>
        <v>59000</v>
      </c>
      <c r="H29" s="4">
        <f>-G29</f>
        <v>-59000</v>
      </c>
      <c r="K29" s="25"/>
      <c r="L29" t="s">
        <v>39</v>
      </c>
      <c r="O29" s="4"/>
      <c r="P29" s="4">
        <f>180000-P10</f>
        <v>42000</v>
      </c>
      <c r="Q29" s="4">
        <f>-P29</f>
        <v>-42000</v>
      </c>
    </row>
    <row r="30" spans="3:17" x14ac:dyDescent="0.25">
      <c r="E30" s="17"/>
      <c r="F30" s="18"/>
      <c r="G30" s="18"/>
      <c r="H30" s="18"/>
      <c r="K30" s="26"/>
      <c r="N30" s="17"/>
      <c r="O30" s="18"/>
      <c r="P30" s="4"/>
    </row>
    <row r="31" spans="3:17" ht="15.75" thickBot="1" x14ac:dyDescent="0.3">
      <c r="C31" s="3" t="s">
        <v>17</v>
      </c>
      <c r="D31" s="3"/>
      <c r="E31" s="21">
        <v>0.58666666666666734</v>
      </c>
      <c r="F31" s="28">
        <f>F21-F27-F29</f>
        <v>0</v>
      </c>
      <c r="G31" s="28">
        <f>G21-G27-G29</f>
        <v>-2350</v>
      </c>
      <c r="H31" s="28">
        <f>G31-F31</f>
        <v>-2350</v>
      </c>
      <c r="I31" s="1"/>
      <c r="J31" s="1"/>
      <c r="K31" s="26"/>
      <c r="L31" s="3" t="s">
        <v>17</v>
      </c>
      <c r="M31" s="3"/>
      <c r="N31" s="21">
        <v>2.7586666666666675</v>
      </c>
      <c r="O31" s="28">
        <f>O21-O27-O29</f>
        <v>25703.333333333336</v>
      </c>
      <c r="P31" s="28">
        <f>P21-P27-P29</f>
        <v>-23350</v>
      </c>
      <c r="Q31" s="28">
        <f>P31-O31</f>
        <v>-49053.333333333336</v>
      </c>
    </row>
    <row r="32" spans="3:17" ht="15.75" thickTop="1" x14ac:dyDescent="0.25"/>
  </sheetData>
  <mergeCells count="1"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</vt:lpstr>
      <vt:lpstr>L1 - STATIC BUDGET</vt:lpstr>
      <vt:lpstr>FLEXIBLE BUD_UNIT COSTS</vt:lpstr>
      <vt:lpstr>L2 - EFFICIENCY and VOLUME VAR</vt:lpstr>
      <vt:lpstr>L3 - PRICE AND EFFICIENCY</vt:lpstr>
      <vt:lpstr>New Budget</vt:lpstr>
      <vt:lpstr>Contacts</vt:lpstr>
      <vt:lpstr>DELETE 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2014-03-07T01:43:01Z</dcterms:created>
  <dcterms:modified xsi:type="dcterms:W3CDTF">2014-03-09T23:46:50Z</dcterms:modified>
</cp:coreProperties>
</file>