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5875" windowHeight="7995" activeTab="2"/>
  </bookViews>
  <sheets>
    <sheet name="CHART" sheetId="2" r:id="rId1"/>
    <sheet name="STATIC BUDGET" sheetId="1" r:id="rId2"/>
    <sheet name="FLEXIBLE BUD" sheetId="4" r:id="rId3"/>
    <sheet name="Sheet1" sheetId="6" r:id="rId4"/>
  </sheets>
  <calcPr calcId="145621"/>
</workbook>
</file>

<file path=xl/calcChain.xml><?xml version="1.0" encoding="utf-8"?>
<calcChain xmlns="http://schemas.openxmlformats.org/spreadsheetml/2006/main">
  <c r="U23" i="4" l="1"/>
  <c r="V23" i="4" s="1"/>
  <c r="N16" i="4" s="1"/>
  <c r="U22" i="4"/>
  <c r="V22" i="4" s="1"/>
  <c r="E16" i="4" s="1"/>
  <c r="F16" i="4" s="1"/>
  <c r="T17" i="4"/>
  <c r="U17" i="4" s="1"/>
  <c r="T16" i="4"/>
  <c r="U16" i="4" s="1"/>
  <c r="O40" i="4"/>
  <c r="G40" i="4"/>
  <c r="P16" i="4"/>
  <c r="G16" i="4"/>
  <c r="F15" i="4"/>
  <c r="P15" i="4"/>
  <c r="G15" i="4"/>
  <c r="E15" i="4"/>
  <c r="N15" i="4"/>
  <c r="Q29" i="6"/>
  <c r="P29" i="6"/>
  <c r="G29" i="6"/>
  <c r="H29" i="6" s="1"/>
  <c r="G27" i="6"/>
  <c r="E27" i="6"/>
  <c r="P26" i="6"/>
  <c r="Q26" i="6" s="1"/>
  <c r="O26" i="6"/>
  <c r="G26" i="6"/>
  <c r="F26" i="6"/>
  <c r="H26" i="6" s="1"/>
  <c r="P25" i="6"/>
  <c r="O25" i="6"/>
  <c r="Q25" i="6" s="1"/>
  <c r="H25" i="6"/>
  <c r="G25" i="6"/>
  <c r="F25" i="6"/>
  <c r="P24" i="6"/>
  <c r="Q24" i="6" s="1"/>
  <c r="O24" i="6"/>
  <c r="G24" i="6"/>
  <c r="F24" i="6"/>
  <c r="F27" i="6" s="1"/>
  <c r="P16" i="6"/>
  <c r="G16" i="6"/>
  <c r="P15" i="6"/>
  <c r="P17" i="6" s="1"/>
  <c r="G15" i="6"/>
  <c r="G17" i="6" s="1"/>
  <c r="E15" i="6"/>
  <c r="F15" i="6" s="1"/>
  <c r="N13" i="6"/>
  <c r="G13" i="6"/>
  <c r="F13" i="6"/>
  <c r="E13" i="6"/>
  <c r="P12" i="6"/>
  <c r="P13" i="6" s="1"/>
  <c r="O12" i="6"/>
  <c r="Q12" i="6" s="1"/>
  <c r="H12" i="6"/>
  <c r="G12" i="6"/>
  <c r="F12" i="6"/>
  <c r="O11" i="6"/>
  <c r="Q11" i="6" s="1"/>
  <c r="F11" i="6"/>
  <c r="H11" i="6" s="1"/>
  <c r="O10" i="6"/>
  <c r="O13" i="6" s="1"/>
  <c r="F10" i="6"/>
  <c r="H10" i="6" s="1"/>
  <c r="Q7" i="6"/>
  <c r="N7" i="6"/>
  <c r="E7" i="6"/>
  <c r="F7" i="6" s="1"/>
  <c r="F24" i="4"/>
  <c r="O10" i="4"/>
  <c r="G24" i="4"/>
  <c r="Q27" i="4"/>
  <c r="P26" i="4"/>
  <c r="G26" i="4"/>
  <c r="P25" i="4"/>
  <c r="G25" i="4"/>
  <c r="F27" i="4"/>
  <c r="F26" i="4"/>
  <c r="F25" i="4"/>
  <c r="F13" i="4"/>
  <c r="F12" i="4"/>
  <c r="F11" i="4"/>
  <c r="F10" i="4"/>
  <c r="F7" i="4"/>
  <c r="N17" i="4" l="1"/>
  <c r="N19" i="4" s="1"/>
  <c r="H7" i="6"/>
  <c r="H15" i="6"/>
  <c r="G19" i="6"/>
  <c r="G21" i="6" s="1"/>
  <c r="G31" i="6" s="1"/>
  <c r="H13" i="6"/>
  <c r="P19" i="6"/>
  <c r="P21" i="6" s="1"/>
  <c r="E16" i="6"/>
  <c r="Q10" i="6"/>
  <c r="Q13" i="6" s="1"/>
  <c r="H24" i="6"/>
  <c r="H27" i="6" s="1"/>
  <c r="O27" i="6"/>
  <c r="P27" i="6"/>
  <c r="N15" i="6"/>
  <c r="N16" i="6"/>
  <c r="O16" i="6" s="1"/>
  <c r="Q16" i="6" s="1"/>
  <c r="E17" i="4"/>
  <c r="E19" i="4" s="1"/>
  <c r="F17" i="4"/>
  <c r="F19" i="4" s="1"/>
  <c r="F21" i="4" s="1"/>
  <c r="F31" i="4" s="1"/>
  <c r="Q10" i="4"/>
  <c r="P29" i="4"/>
  <c r="Q29" i="4" s="1"/>
  <c r="Q7" i="4"/>
  <c r="G29" i="4"/>
  <c r="N13" i="4"/>
  <c r="E13" i="4"/>
  <c r="P12" i="4"/>
  <c r="P13" i="4" s="1"/>
  <c r="P24" i="4"/>
  <c r="G12" i="4"/>
  <c r="G13" i="4" s="1"/>
  <c r="O11" i="4"/>
  <c r="Q11" i="4" s="1"/>
  <c r="O12" i="4"/>
  <c r="Q12" i="4" s="1"/>
  <c r="H10" i="4"/>
  <c r="H11" i="4"/>
  <c r="H12" i="4"/>
  <c r="O26" i="4"/>
  <c r="O25" i="4"/>
  <c r="O24" i="4"/>
  <c r="O16" i="4"/>
  <c r="Q16" i="4" s="1"/>
  <c r="O15" i="4"/>
  <c r="Q15" i="4" s="1"/>
  <c r="E27" i="4"/>
  <c r="N7" i="4"/>
  <c r="E7" i="4"/>
  <c r="F30" i="1"/>
  <c r="E30" i="1"/>
  <c r="E29" i="1"/>
  <c r="D29" i="1"/>
  <c r="D30" i="1"/>
  <c r="F32" i="1"/>
  <c r="F31" i="1"/>
  <c r="F29" i="1"/>
  <c r="F21" i="1"/>
  <c r="F20" i="1"/>
  <c r="F19" i="1"/>
  <c r="F15" i="1"/>
  <c r="F14" i="1"/>
  <c r="F28" i="1"/>
  <c r="F10" i="1"/>
  <c r="F9" i="1"/>
  <c r="F6" i="1"/>
  <c r="F5" i="1"/>
  <c r="E21" i="1"/>
  <c r="D21" i="1"/>
  <c r="D23" i="1"/>
  <c r="Q17" i="4" l="1"/>
  <c r="P31" i="6"/>
  <c r="O15" i="6"/>
  <c r="N17" i="6"/>
  <c r="N19" i="6" s="1"/>
  <c r="N21" i="6" s="1"/>
  <c r="E17" i="6"/>
  <c r="E19" i="6" s="1"/>
  <c r="E21" i="6" s="1"/>
  <c r="F16" i="6"/>
  <c r="Q27" i="6"/>
  <c r="H26" i="4"/>
  <c r="P27" i="4"/>
  <c r="Q25" i="4"/>
  <c r="H24" i="4"/>
  <c r="Q24" i="4"/>
  <c r="G27" i="4"/>
  <c r="Q13" i="4"/>
  <c r="H13" i="4"/>
  <c r="Q26" i="4"/>
  <c r="H25" i="4"/>
  <c r="O13" i="4"/>
  <c r="P17" i="4"/>
  <c r="P19" i="4" s="1"/>
  <c r="P21" i="4" s="1"/>
  <c r="H15" i="4"/>
  <c r="O17" i="4"/>
  <c r="H16" i="4"/>
  <c r="H29" i="4"/>
  <c r="G17" i="4"/>
  <c r="G19" i="4" s="1"/>
  <c r="G21" i="4" s="1"/>
  <c r="G31" i="4" s="1"/>
  <c r="H31" i="4" s="1"/>
  <c r="O27" i="4"/>
  <c r="E21" i="4"/>
  <c r="E31" i="4" s="1"/>
  <c r="N21" i="4"/>
  <c r="N31" i="4" s="1"/>
  <c r="E33" i="1"/>
  <c r="E23" i="1"/>
  <c r="F23" i="1" s="1"/>
  <c r="E11" i="1"/>
  <c r="F11" i="1" s="1"/>
  <c r="D33" i="1"/>
  <c r="D11" i="1"/>
  <c r="Q15" i="6" l="1"/>
  <c r="Q17" i="6" s="1"/>
  <c r="O17" i="6"/>
  <c r="O19" i="6" s="1"/>
  <c r="H16" i="6"/>
  <c r="H17" i="6" s="1"/>
  <c r="H19" i="6" s="1"/>
  <c r="H21" i="6" s="1"/>
  <c r="F17" i="6"/>
  <c r="F19" i="6" s="1"/>
  <c r="F21" i="6" s="1"/>
  <c r="F31" i="6" s="1"/>
  <c r="H31" i="6" s="1"/>
  <c r="O19" i="4"/>
  <c r="Q19" i="4" s="1"/>
  <c r="P31" i="4"/>
  <c r="H7" i="4"/>
  <c r="H17" i="4"/>
  <c r="H19" i="4" s="1"/>
  <c r="H27" i="4"/>
  <c r="D25" i="1"/>
  <c r="E25" i="1"/>
  <c r="F25" i="1" s="1"/>
  <c r="F33" i="1"/>
  <c r="O21" i="4" l="1"/>
  <c r="O31" i="4" s="1"/>
  <c r="Q31" i="4" s="1"/>
  <c r="D34" i="4" s="1"/>
  <c r="C7" i="2" s="1"/>
  <c r="Q19" i="6"/>
  <c r="O21" i="6"/>
  <c r="H21" i="4"/>
  <c r="E35" i="1"/>
  <c r="D35" i="1"/>
  <c r="Q21" i="4" l="1"/>
  <c r="O31" i="6"/>
  <c r="Q31" i="6" s="1"/>
  <c r="Q21" i="6"/>
  <c r="F35" i="1"/>
  <c r="D4" i="2" l="1"/>
  <c r="E7" i="2" s="1"/>
  <c r="F37" i="1"/>
</calcChain>
</file>

<file path=xl/sharedStrings.xml><?xml version="1.0" encoding="utf-8"?>
<sst xmlns="http://schemas.openxmlformats.org/spreadsheetml/2006/main" count="226" uniqueCount="87">
  <si>
    <t>Sales</t>
  </si>
  <si>
    <t>Plastic</t>
  </si>
  <si>
    <t>Metal</t>
  </si>
  <si>
    <t>Actual</t>
  </si>
  <si>
    <t>Budget</t>
  </si>
  <si>
    <t>Sales Revenues</t>
  </si>
  <si>
    <t>Total Sales</t>
  </si>
  <si>
    <t>MFG-Plastic</t>
  </si>
  <si>
    <t>MFG-Metal</t>
  </si>
  <si>
    <t>Commissions</t>
  </si>
  <si>
    <t>AFDA</t>
  </si>
  <si>
    <t>Total Variable Cost</t>
  </si>
  <si>
    <t>Contribution Margin</t>
  </si>
  <si>
    <t>Other Costs</t>
  </si>
  <si>
    <t>Fixed SGA</t>
  </si>
  <si>
    <t>Corporate Office Allocation</t>
  </si>
  <si>
    <t>Total Other Costs</t>
  </si>
  <si>
    <t>Division Operating Income</t>
  </si>
  <si>
    <t>Var. MFG Cost variance from Standard</t>
  </si>
  <si>
    <t>STATIC BUDGET VARIANCE</t>
  </si>
  <si>
    <t>Purchases</t>
  </si>
  <si>
    <t>Price</t>
  </si>
  <si>
    <t>Budgeted/Unit</t>
  </si>
  <si>
    <t>Revenues</t>
  </si>
  <si>
    <t>PLASTIC</t>
  </si>
  <si>
    <t>Variance</t>
  </si>
  <si>
    <t>METAL</t>
  </si>
  <si>
    <t>Volume (Units)</t>
  </si>
  <si>
    <t>Less Manufacturing Variable Costs</t>
  </si>
  <si>
    <t>Selling Variable Costs</t>
  </si>
  <si>
    <t>Total Selling Variable Costs</t>
  </si>
  <si>
    <t>Fixed MFG Costs Plastic</t>
  </si>
  <si>
    <t>Fixed MFG Costs Metal</t>
  </si>
  <si>
    <t>Budgeted</t>
  </si>
  <si>
    <t>Cost Driver</t>
  </si>
  <si>
    <t>Raw Materials</t>
  </si>
  <si>
    <t>DL</t>
  </si>
  <si>
    <t>Mfg Overhead</t>
  </si>
  <si>
    <t>Total Manufacturing Variable Costs</t>
  </si>
  <si>
    <t>Less Materials Purchased but not used</t>
  </si>
  <si>
    <t>Sold</t>
  </si>
  <si>
    <t>Made</t>
  </si>
  <si>
    <t>Flex Budget</t>
  </si>
  <si>
    <t>Results</t>
  </si>
  <si>
    <t>Qty Sold</t>
  </si>
  <si>
    <t>Qty Made</t>
  </si>
  <si>
    <t>TOTAL FL:EXIBLE BUDGET VARIENCE</t>
  </si>
  <si>
    <t>FLEXIBLE VARIANCE</t>
  </si>
  <si>
    <t>SALES VOLUIME VARIANCE</t>
  </si>
  <si>
    <t>L1</t>
  </si>
  <si>
    <t>L2</t>
  </si>
  <si>
    <t>Bought too much (bought 60k, most liukely to support higher sales, but only made 55k</t>
  </si>
  <si>
    <t>Had inventory; didn't need to buy that much</t>
  </si>
  <si>
    <t>Bought 23k for budget 25, only made 22.5k =&gt; no changes to inventory</t>
  </si>
  <si>
    <t>Manufacturing</t>
  </si>
  <si>
    <t>Used 56k material to make 55k chairs - $ waste</t>
  </si>
  <si>
    <t>used 23k materials to make 22.5k chairs - maretial waste</t>
  </si>
  <si>
    <t>Both have material waste issues</t>
  </si>
  <si>
    <t>More DL and OH (Supplies, benefits, power)</t>
  </si>
  <si>
    <t>Almost on target OH + DL</t>
  </si>
  <si>
    <t>Fixed OH (Supervison, dep, taxes)- neg varience. Even though made less than varience, still shitty results (12k unexplained)</t>
  </si>
  <si>
    <t>Smaller U varience for OH, perhaps OH Cost allocation is not accurate?</t>
  </si>
  <si>
    <t>Scaled by price</t>
  </si>
  <si>
    <t>Show pie chats of cost drivers</t>
  </si>
  <si>
    <t>Budget Sales</t>
  </si>
  <si>
    <t>VC Margin</t>
  </si>
  <si>
    <t xml:space="preserve">Plastic </t>
  </si>
  <si>
    <t>Plastic chairs are not profitable</t>
  </si>
  <si>
    <t>Budgeted comissions</t>
  </si>
  <si>
    <t>Per unit</t>
  </si>
  <si>
    <t>For Comission - Scale on VC Margins</t>
  </si>
  <si>
    <t>AFDA - Scale on revenues</t>
  </si>
  <si>
    <t>Budgeted AFDA</t>
  </si>
  <si>
    <t>Per line</t>
  </si>
  <si>
    <t>Sold more, less comission,</t>
  </si>
  <si>
    <t>Sold less, paid more comissions</t>
  </si>
  <si>
    <t>Budget 10</t>
  </si>
  <si>
    <t xml:space="preserve">Actual </t>
  </si>
  <si>
    <t>Budget 15</t>
  </si>
  <si>
    <t>Undebudgeted sales comission</t>
  </si>
  <si>
    <t>Inventory - Bought too much</t>
  </si>
  <si>
    <t>Presentation</t>
  </si>
  <si>
    <t>Theory of budgets</t>
  </si>
  <si>
    <t>Show this page (how unit numbers were calculated)</t>
  </si>
  <si>
    <t>Explain areas of varience</t>
  </si>
  <si>
    <t>Answer qeustions</t>
  </si>
  <si>
    <t>Explain how 32k$ of varience came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</si>
</sst>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1" fillId="0" borderId="0" xfId="0" applyFont="1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Font="1" applyBorder="1"/>
    <xf numFmtId="0" fontId="0" fillId="0" borderId="3" xfId="0" applyBorder="1"/>
    <xf numFmtId="44" fontId="0" fillId="0" borderId="3" xfId="0" applyNumberFormat="1" applyFont="1" applyBorder="1"/>
    <xf numFmtId="164" fontId="0" fillId="0" borderId="3" xfId="0" applyNumberFormat="1" applyFont="1" applyBorder="1"/>
    <xf numFmtId="0" fontId="1" fillId="0" borderId="3" xfId="0" applyFont="1" applyBorder="1"/>
    <xf numFmtId="164" fontId="0" fillId="0" borderId="3" xfId="0" applyNumberFormat="1" applyBorder="1"/>
    <xf numFmtId="0" fontId="0" fillId="0" borderId="0" xfId="0" applyAlignment="1">
      <alignment wrapText="1"/>
    </xf>
    <xf numFmtId="37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3" fontId="0" fillId="0" borderId="0" xfId="0" applyNumberFormat="1"/>
    <xf numFmtId="165" fontId="0" fillId="0" borderId="0" xfId="0" applyNumberFormat="1" applyBorder="1"/>
    <xf numFmtId="0" fontId="1" fillId="0" borderId="0" xfId="0" applyFont="1" applyAlignment="1">
      <alignment wrapText="1"/>
    </xf>
    <xf numFmtId="1" fontId="0" fillId="0" borderId="0" xfId="0" applyNumberFormat="1" applyFont="1"/>
    <xf numFmtId="1" fontId="0" fillId="0" borderId="0" xfId="0" applyNumberFormat="1" applyFon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3" fontId="0" fillId="0" borderId="1" xfId="0" applyNumberFormat="1" applyBorder="1"/>
    <xf numFmtId="3" fontId="0" fillId="0" borderId="8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3" fontId="0" fillId="0" borderId="0" xfId="0" applyNumberFormat="1" applyFont="1"/>
    <xf numFmtId="3" fontId="0" fillId="0" borderId="0" xfId="0" applyNumberFormat="1" applyFont="1" applyBorder="1"/>
    <xf numFmtId="3" fontId="0" fillId="0" borderId="1" xfId="0" applyNumberFormat="1" applyFont="1" applyBorder="1"/>
    <xf numFmtId="166" fontId="0" fillId="2" borderId="0" xfId="0" applyNumberFormat="1" applyFill="1" applyBorder="1"/>
    <xf numFmtId="166" fontId="0" fillId="2" borderId="1" xfId="0" applyNumberFormat="1" applyFill="1" applyBorder="1"/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A7" sqref="A7"/>
    </sheetView>
  </sheetViews>
  <sheetFormatPr defaultRowHeight="15" x14ac:dyDescent="0.25"/>
  <cols>
    <col min="3" max="3" width="18.42578125" bestFit="1" customWidth="1"/>
    <col min="4" max="4" width="24.140625" bestFit="1" customWidth="1"/>
    <col min="5" max="5" width="24.42578125" bestFit="1" customWidth="1"/>
  </cols>
  <sheetData>
    <row r="3" spans="1:5" x14ac:dyDescent="0.25">
      <c r="A3" t="s">
        <v>49</v>
      </c>
      <c r="D3" t="s">
        <v>19</v>
      </c>
    </row>
    <row r="4" spans="1:5" x14ac:dyDescent="0.25">
      <c r="D4" s="4">
        <f>'STATIC BUDGET'!F35</f>
        <v>-32600</v>
      </c>
    </row>
    <row r="6" spans="1:5" x14ac:dyDescent="0.25">
      <c r="A6" t="s">
        <v>50</v>
      </c>
      <c r="C6" t="s">
        <v>47</v>
      </c>
      <c r="E6" t="s">
        <v>48</v>
      </c>
    </row>
    <row r="7" spans="1:5" x14ac:dyDescent="0.25">
      <c r="C7" s="4">
        <f>'FLEXIBLE BUD'!D34</f>
        <v>-105973.33333333334</v>
      </c>
      <c r="E7" s="4">
        <f>D4-C7</f>
        <v>73373.333333333343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workbookViewId="0">
      <selection activeCell="C40" sqref="C40"/>
    </sheetView>
  </sheetViews>
  <sheetFormatPr defaultRowHeight="15" x14ac:dyDescent="0.25"/>
  <cols>
    <col min="2" max="2" width="4.140625" customWidth="1"/>
    <col min="3" max="3" width="33.7109375" customWidth="1"/>
    <col min="4" max="6" width="12.5703125" bestFit="1" customWidth="1"/>
  </cols>
  <sheetData>
    <row r="3" spans="2:6" ht="45" x14ac:dyDescent="0.25">
      <c r="B3" t="s">
        <v>0</v>
      </c>
      <c r="D3" t="s">
        <v>3</v>
      </c>
      <c r="E3" t="s">
        <v>4</v>
      </c>
      <c r="F3" s="15" t="s">
        <v>19</v>
      </c>
    </row>
    <row r="4" spans="2:6" x14ac:dyDescent="0.25">
      <c r="B4" t="s">
        <v>27</v>
      </c>
    </row>
    <row r="5" spans="2:6" x14ac:dyDescent="0.25">
      <c r="C5" t="s">
        <v>1</v>
      </c>
      <c r="D5" s="16">
        <v>60000</v>
      </c>
      <c r="E5" s="16">
        <v>50000</v>
      </c>
      <c r="F5" s="16">
        <f>D5-E5</f>
        <v>10000</v>
      </c>
    </row>
    <row r="6" spans="2:6" x14ac:dyDescent="0.25">
      <c r="C6" t="s">
        <v>2</v>
      </c>
      <c r="D6" s="16">
        <v>20000</v>
      </c>
      <c r="E6" s="16">
        <v>25000</v>
      </c>
      <c r="F6" s="16">
        <f>D6-E6</f>
        <v>-5000</v>
      </c>
    </row>
    <row r="7" spans="2:6" x14ac:dyDescent="0.25">
      <c r="D7" s="4"/>
      <c r="E7" s="4"/>
      <c r="F7" s="4"/>
    </row>
    <row r="8" spans="2:6" x14ac:dyDescent="0.25">
      <c r="B8" t="s">
        <v>5</v>
      </c>
      <c r="D8" s="4"/>
      <c r="E8" s="4"/>
      <c r="F8" s="4"/>
    </row>
    <row r="9" spans="2:6" x14ac:dyDescent="0.25">
      <c r="C9" t="s">
        <v>1</v>
      </c>
      <c r="D9" s="4">
        <v>630000</v>
      </c>
      <c r="E9" s="4">
        <v>500000</v>
      </c>
      <c r="F9" s="4">
        <f>D9-E9</f>
        <v>130000</v>
      </c>
    </row>
    <row r="10" spans="2:6" x14ac:dyDescent="0.25">
      <c r="B10" s="1"/>
      <c r="C10" s="1" t="s">
        <v>2</v>
      </c>
      <c r="D10" s="4">
        <v>300000</v>
      </c>
      <c r="E10" s="4">
        <v>375000</v>
      </c>
      <c r="F10" s="4">
        <f>D10-E10</f>
        <v>-75000</v>
      </c>
    </row>
    <row r="11" spans="2:6" x14ac:dyDescent="0.25">
      <c r="B11" s="10" t="s">
        <v>6</v>
      </c>
      <c r="C11" s="10"/>
      <c r="D11" s="14">
        <f>SUM(D9:D10)</f>
        <v>930000</v>
      </c>
      <c r="E11" s="14">
        <f t="shared" ref="E11" si="0">SUM(E9:E10)</f>
        <v>875000</v>
      </c>
      <c r="F11" s="4">
        <f>D11-E11</f>
        <v>55000</v>
      </c>
    </row>
    <row r="12" spans="2:6" x14ac:dyDescent="0.25">
      <c r="D12" s="4"/>
      <c r="E12" s="4"/>
      <c r="F12" s="4"/>
    </row>
    <row r="13" spans="2:6" x14ac:dyDescent="0.25">
      <c r="B13" t="s">
        <v>28</v>
      </c>
      <c r="D13" s="4"/>
      <c r="E13" s="4"/>
      <c r="F13" s="4"/>
    </row>
    <row r="14" spans="2:6" x14ac:dyDescent="0.25">
      <c r="C14" t="s">
        <v>7</v>
      </c>
      <c r="D14" s="4">
        <v>480000</v>
      </c>
      <c r="E14" s="4">
        <v>400000</v>
      </c>
      <c r="F14" s="4">
        <f>E14-D14</f>
        <v>-80000</v>
      </c>
    </row>
    <row r="15" spans="2:6" x14ac:dyDescent="0.25">
      <c r="C15" t="s">
        <v>8</v>
      </c>
      <c r="D15" s="4">
        <v>200000</v>
      </c>
      <c r="E15" s="4">
        <v>250000</v>
      </c>
      <c r="F15" s="4">
        <f>E15-D15</f>
        <v>50000</v>
      </c>
    </row>
    <row r="16" spans="2:6" x14ac:dyDescent="0.25">
      <c r="D16" s="4"/>
      <c r="E16" s="4"/>
      <c r="F16" s="4"/>
    </row>
    <row r="17" spans="2:6" ht="3.75" customHeight="1" x14ac:dyDescent="0.25">
      <c r="D17" s="4"/>
      <c r="E17" s="4"/>
      <c r="F17" s="4"/>
    </row>
    <row r="18" spans="2:6" x14ac:dyDescent="0.25">
      <c r="B18" t="s">
        <v>29</v>
      </c>
      <c r="D18" s="4"/>
      <c r="E18" s="4"/>
      <c r="F18" s="4"/>
    </row>
    <row r="19" spans="2:6" x14ac:dyDescent="0.25">
      <c r="B19" s="1"/>
      <c r="C19" s="1" t="s">
        <v>9</v>
      </c>
      <c r="D19" s="4">
        <v>46500</v>
      </c>
      <c r="E19" s="4">
        <v>43750</v>
      </c>
      <c r="F19" s="4">
        <f>E19-D19</f>
        <v>-2750</v>
      </c>
    </row>
    <row r="20" spans="2:6" x14ac:dyDescent="0.25">
      <c r="B20" s="2"/>
      <c r="C20" s="2" t="s">
        <v>10</v>
      </c>
      <c r="D20" s="7">
        <v>9300</v>
      </c>
      <c r="E20" s="7">
        <v>8750</v>
      </c>
      <c r="F20" s="4">
        <f>E20-D20</f>
        <v>-550</v>
      </c>
    </row>
    <row r="21" spans="2:6" x14ac:dyDescent="0.25">
      <c r="B21" s="1" t="s">
        <v>30</v>
      </c>
      <c r="C21" s="1"/>
      <c r="D21" s="4">
        <f>SUM(D19:D20)</f>
        <v>55800</v>
      </c>
      <c r="E21" s="4">
        <f>SUM(E19:E20)</f>
        <v>52500</v>
      </c>
      <c r="F21" s="4">
        <f>E21-D21</f>
        <v>-3300</v>
      </c>
    </row>
    <row r="22" spans="2:6" x14ac:dyDescent="0.25">
      <c r="B22" s="1"/>
      <c r="C22" s="1"/>
      <c r="D22" s="4"/>
      <c r="E22" s="4"/>
      <c r="F22" s="4"/>
    </row>
    <row r="23" spans="2:6" x14ac:dyDescent="0.25">
      <c r="B23" s="10" t="s">
        <v>11</v>
      </c>
      <c r="C23" s="10"/>
      <c r="D23" s="14">
        <f>SUM(D14:D20)</f>
        <v>735800</v>
      </c>
      <c r="E23" s="14">
        <f t="shared" ref="E23" si="1">SUM(E14:E20)</f>
        <v>702500</v>
      </c>
      <c r="F23" s="4">
        <f>E23-D23</f>
        <v>-33300</v>
      </c>
    </row>
    <row r="24" spans="2:6" x14ac:dyDescent="0.25">
      <c r="D24" s="4"/>
      <c r="E24" s="4"/>
      <c r="F24" s="4"/>
    </row>
    <row r="25" spans="2:6" x14ac:dyDescent="0.25">
      <c r="B25" t="s">
        <v>12</v>
      </c>
      <c r="D25" s="4">
        <f>D11-D23</f>
        <v>194200</v>
      </c>
      <c r="E25" s="4">
        <f t="shared" ref="E25" si="2">E11-E23</f>
        <v>172500</v>
      </c>
      <c r="F25" s="4">
        <f>D25-E25</f>
        <v>21700</v>
      </c>
    </row>
    <row r="26" spans="2:6" x14ac:dyDescent="0.25">
      <c r="D26" s="4"/>
      <c r="E26" s="4"/>
      <c r="F26" s="4"/>
    </row>
    <row r="27" spans="2:6" x14ac:dyDescent="0.25">
      <c r="B27" t="s">
        <v>13</v>
      </c>
      <c r="D27" s="4"/>
      <c r="E27" s="4"/>
      <c r="F27" s="4"/>
    </row>
    <row r="28" spans="2:6" x14ac:dyDescent="0.25">
      <c r="C28" t="s">
        <v>18</v>
      </c>
      <c r="D28" s="4">
        <v>49600</v>
      </c>
      <c r="E28" s="4">
        <v>0</v>
      </c>
      <c r="F28" s="4">
        <f>E28-D28</f>
        <v>-49600</v>
      </c>
    </row>
    <row r="29" spans="2:6" x14ac:dyDescent="0.25">
      <c r="C29" t="s">
        <v>31</v>
      </c>
      <c r="D29" s="4">
        <f>14000+12000+1900</f>
        <v>27900</v>
      </c>
      <c r="E29" s="4">
        <f>9100*3</f>
        <v>27300</v>
      </c>
      <c r="F29" s="4">
        <f>E29-D29</f>
        <v>-600</v>
      </c>
    </row>
    <row r="30" spans="2:6" x14ac:dyDescent="0.25">
      <c r="C30" t="s">
        <v>32</v>
      </c>
      <c r="D30" s="4">
        <f>11000+9000+1300</f>
        <v>21300</v>
      </c>
      <c r="E30" s="4">
        <f>6900*3</f>
        <v>20700</v>
      </c>
      <c r="F30" s="4">
        <f>E30-D30</f>
        <v>-600</v>
      </c>
    </row>
    <row r="31" spans="2:6" x14ac:dyDescent="0.25">
      <c r="B31" s="1"/>
      <c r="C31" s="1" t="s">
        <v>14</v>
      </c>
      <c r="D31" s="4">
        <v>38500</v>
      </c>
      <c r="E31" s="4">
        <v>36000</v>
      </c>
      <c r="F31" s="4">
        <f>E31-D31</f>
        <v>-2500</v>
      </c>
    </row>
    <row r="32" spans="2:6" x14ac:dyDescent="0.25">
      <c r="B32" s="1"/>
      <c r="C32" s="1" t="s">
        <v>15</v>
      </c>
      <c r="D32" s="4">
        <v>18500</v>
      </c>
      <c r="E32" s="4">
        <v>17500</v>
      </c>
      <c r="F32" s="4">
        <f>E32-D32</f>
        <v>-1000</v>
      </c>
    </row>
    <row r="33" spans="2:6" x14ac:dyDescent="0.25">
      <c r="B33" s="10" t="s">
        <v>16</v>
      </c>
      <c r="C33" s="10"/>
      <c r="D33" s="14">
        <f>SUM(D28:D32)</f>
        <v>155800</v>
      </c>
      <c r="E33" s="14">
        <f t="shared" ref="E33:F33" si="3">SUM(E28:E32)</f>
        <v>101500</v>
      </c>
      <c r="F33" s="14">
        <f t="shared" si="3"/>
        <v>-54300</v>
      </c>
    </row>
    <row r="34" spans="2:6" x14ac:dyDescent="0.25">
      <c r="D34" s="4"/>
      <c r="E34" s="4"/>
      <c r="F34" s="4"/>
    </row>
    <row r="35" spans="2:6" ht="15.75" thickBot="1" x14ac:dyDescent="0.3">
      <c r="B35" s="3" t="s">
        <v>17</v>
      </c>
      <c r="C35" s="3"/>
      <c r="D35" s="8">
        <f>D25-D33</f>
        <v>38400</v>
      </c>
      <c r="E35" s="8">
        <f>E25-E33</f>
        <v>71000</v>
      </c>
      <c r="F35" s="8">
        <f>D35-E35</f>
        <v>-32600</v>
      </c>
    </row>
    <row r="36" spans="2:6" ht="15.75" thickTop="1" x14ac:dyDescent="0.25"/>
    <row r="37" spans="2:6" x14ac:dyDescent="0.25">
      <c r="D37" t="s">
        <v>19</v>
      </c>
      <c r="F37" s="4">
        <f>F35</f>
        <v>-32600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7"/>
  <sheetViews>
    <sheetView tabSelected="1" workbookViewId="0">
      <selection activeCell="S6" sqref="S6:V25"/>
    </sheetView>
  </sheetViews>
  <sheetFormatPr defaultRowHeight="15" x14ac:dyDescent="0.25"/>
  <cols>
    <col min="1" max="1" width="9.5703125" bestFit="1" customWidth="1"/>
    <col min="2" max="2" width="6.5703125" bestFit="1" customWidth="1"/>
    <col min="3" max="3" width="3.7109375" customWidth="1"/>
    <col min="4" max="4" width="32" customWidth="1"/>
    <col min="5" max="5" width="14.42578125" bestFit="1" customWidth="1"/>
    <col min="6" max="7" width="12.5703125" bestFit="1" customWidth="1"/>
    <col min="8" max="8" width="12.28515625" bestFit="1" customWidth="1"/>
    <col min="9" max="9" width="22.85546875" bestFit="1" customWidth="1"/>
    <col min="10" max="10" width="9.5703125" bestFit="1" customWidth="1"/>
    <col min="11" max="11" width="6.5703125" bestFit="1" customWidth="1"/>
    <col min="12" max="12" width="5" customWidth="1"/>
    <col min="13" max="13" width="30.42578125" customWidth="1"/>
    <col min="14" max="14" width="14.42578125" bestFit="1" customWidth="1"/>
    <col min="15" max="15" width="16.42578125" bestFit="1" customWidth="1"/>
    <col min="16" max="16" width="12.5703125" customWidth="1"/>
    <col min="17" max="17" width="14.5703125" customWidth="1"/>
  </cols>
  <sheetData>
    <row r="2" spans="1:22" x14ac:dyDescent="0.25">
      <c r="C2" s="17" t="s">
        <v>24</v>
      </c>
      <c r="F2" s="17"/>
      <c r="G2" s="4"/>
      <c r="K2" s="17"/>
      <c r="L2" s="17" t="s">
        <v>26</v>
      </c>
    </row>
    <row r="3" spans="1:22" x14ac:dyDescent="0.25">
      <c r="C3" s="31"/>
      <c r="D3" s="32"/>
      <c r="E3" s="33" t="s">
        <v>33</v>
      </c>
      <c r="F3" s="32" t="s">
        <v>40</v>
      </c>
      <c r="G3" s="34" t="s">
        <v>41</v>
      </c>
      <c r="K3" s="17"/>
      <c r="L3" s="31"/>
      <c r="M3" s="32"/>
      <c r="N3" s="33" t="s">
        <v>33</v>
      </c>
      <c r="O3" s="32" t="s">
        <v>40</v>
      </c>
      <c r="P3" s="34" t="s">
        <v>41</v>
      </c>
    </row>
    <row r="4" spans="1:22" x14ac:dyDescent="0.25">
      <c r="C4" s="35" t="s">
        <v>27</v>
      </c>
      <c r="D4" s="2"/>
      <c r="E4" s="36">
        <v>50000</v>
      </c>
      <c r="F4" s="36">
        <v>60000</v>
      </c>
      <c r="G4" s="37">
        <v>55000</v>
      </c>
      <c r="L4" s="35" t="s">
        <v>27</v>
      </c>
      <c r="M4" s="2"/>
      <c r="N4" s="36">
        <v>25000</v>
      </c>
      <c r="O4" s="36">
        <v>20000</v>
      </c>
      <c r="P4" s="37">
        <v>22500</v>
      </c>
    </row>
    <row r="6" spans="1:22" s="5" customFormat="1" x14ac:dyDescent="0.25">
      <c r="A6" s="38" t="s">
        <v>34</v>
      </c>
      <c r="B6" s="38"/>
      <c r="E6" s="5" t="s">
        <v>22</v>
      </c>
      <c r="F6" s="24" t="s">
        <v>42</v>
      </c>
      <c r="G6" s="24" t="s">
        <v>43</v>
      </c>
      <c r="H6" s="5" t="s">
        <v>25</v>
      </c>
      <c r="J6" s="39" t="s">
        <v>34</v>
      </c>
      <c r="K6" s="39"/>
      <c r="N6" s="5" t="s">
        <v>22</v>
      </c>
      <c r="O6" s="24" t="s">
        <v>42</v>
      </c>
      <c r="P6" s="24" t="s">
        <v>43</v>
      </c>
      <c r="Q6" s="5" t="s">
        <v>25</v>
      </c>
      <c r="S6" s="5" t="s">
        <v>70</v>
      </c>
      <c r="T6"/>
      <c r="U6"/>
      <c r="V6"/>
    </row>
    <row r="7" spans="1:22" x14ac:dyDescent="0.25">
      <c r="A7" t="s">
        <v>44</v>
      </c>
      <c r="B7" s="22">
        <v>60000</v>
      </c>
      <c r="C7" s="10" t="s">
        <v>23</v>
      </c>
      <c r="D7" s="13"/>
      <c r="E7" s="11">
        <f>500000/50000</f>
        <v>10</v>
      </c>
      <c r="F7" s="12">
        <f>E7*B7</f>
        <v>600000</v>
      </c>
      <c r="G7" s="12">
        <v>630000</v>
      </c>
      <c r="H7" s="12">
        <f>G7-F7</f>
        <v>30000</v>
      </c>
      <c r="I7" s="9"/>
      <c r="J7" t="s">
        <v>44</v>
      </c>
      <c r="K7" s="41">
        <v>20000</v>
      </c>
      <c r="L7" s="10" t="s">
        <v>23</v>
      </c>
      <c r="M7" s="13"/>
      <c r="N7" s="12">
        <f>375000/25000</f>
        <v>15</v>
      </c>
      <c r="O7" s="12">
        <v>300000</v>
      </c>
      <c r="P7" s="12">
        <v>300000</v>
      </c>
      <c r="Q7" s="14">
        <f>O7-P7</f>
        <v>0</v>
      </c>
      <c r="T7" t="s">
        <v>64</v>
      </c>
    </row>
    <row r="8" spans="1:22" x14ac:dyDescent="0.25">
      <c r="B8" s="22"/>
      <c r="K8" s="41"/>
      <c r="P8" s="4"/>
      <c r="S8" t="s">
        <v>1</v>
      </c>
      <c r="T8">
        <v>50000</v>
      </c>
    </row>
    <row r="9" spans="1:22" x14ac:dyDescent="0.25">
      <c r="B9" s="22"/>
      <c r="C9" t="s">
        <v>28</v>
      </c>
      <c r="E9" s="17"/>
      <c r="F9" s="18"/>
      <c r="G9" s="18"/>
      <c r="H9" s="18"/>
      <c r="K9" s="42"/>
      <c r="L9" t="s">
        <v>28</v>
      </c>
      <c r="N9" s="17"/>
      <c r="O9" s="18"/>
      <c r="P9" s="4"/>
      <c r="S9" t="s">
        <v>2</v>
      </c>
      <c r="T9">
        <v>25000</v>
      </c>
    </row>
    <row r="10" spans="1:22" x14ac:dyDescent="0.25">
      <c r="A10" t="s">
        <v>45</v>
      </c>
      <c r="B10" s="22">
        <v>55000</v>
      </c>
      <c r="D10" t="s">
        <v>35</v>
      </c>
      <c r="E10" s="17">
        <v>5</v>
      </c>
      <c r="F10" s="18">
        <f>E10*B10</f>
        <v>275000</v>
      </c>
      <c r="G10" s="18">
        <v>280000</v>
      </c>
      <c r="H10" s="46">
        <f>F10-G10</f>
        <v>-5000</v>
      </c>
      <c r="J10" t="s">
        <v>45</v>
      </c>
      <c r="K10" s="42">
        <v>22500</v>
      </c>
      <c r="M10" t="s">
        <v>35</v>
      </c>
      <c r="N10" s="17">
        <v>6</v>
      </c>
      <c r="O10" s="18">
        <f>K10*N10</f>
        <v>135000</v>
      </c>
      <c r="P10" s="4">
        <v>138000</v>
      </c>
      <c r="Q10" s="18">
        <f>O10-P10</f>
        <v>-3000</v>
      </c>
    </row>
    <row r="11" spans="1:22" x14ac:dyDescent="0.25">
      <c r="A11" t="s">
        <v>45</v>
      </c>
      <c r="B11" s="22">
        <v>55000</v>
      </c>
      <c r="D11" t="s">
        <v>36</v>
      </c>
      <c r="E11" s="17">
        <v>1</v>
      </c>
      <c r="F11" s="18">
        <f>E11*B11</f>
        <v>55000</v>
      </c>
      <c r="G11" s="18">
        <v>55800</v>
      </c>
      <c r="H11" s="46">
        <f>F11-G11</f>
        <v>-800</v>
      </c>
      <c r="J11" t="s">
        <v>45</v>
      </c>
      <c r="K11" s="42">
        <v>22500</v>
      </c>
      <c r="L11" s="1"/>
      <c r="M11" s="1" t="s">
        <v>36</v>
      </c>
      <c r="N11" s="23">
        <v>2</v>
      </c>
      <c r="O11" s="30">
        <f>N11*K11</f>
        <v>45000</v>
      </c>
      <c r="P11" s="6">
        <v>44800</v>
      </c>
      <c r="Q11" s="18">
        <f>O11-P11</f>
        <v>200</v>
      </c>
      <c r="S11" t="s">
        <v>65</v>
      </c>
    </row>
    <row r="12" spans="1:22" x14ac:dyDescent="0.25">
      <c r="A12" t="s">
        <v>45</v>
      </c>
      <c r="B12" s="22">
        <v>55000</v>
      </c>
      <c r="C12" s="2"/>
      <c r="D12" s="2" t="s">
        <v>37</v>
      </c>
      <c r="E12" s="19">
        <v>2</v>
      </c>
      <c r="F12" s="29">
        <f>E12*B12</f>
        <v>110000</v>
      </c>
      <c r="G12" s="29">
        <f>43000+50000+19000</f>
        <v>112000</v>
      </c>
      <c r="H12" s="45">
        <f>F12-G12</f>
        <v>-2000</v>
      </c>
      <c r="J12" t="s">
        <v>45</v>
      </c>
      <c r="K12" s="43">
        <v>22500</v>
      </c>
      <c r="L12" s="2"/>
      <c r="M12" s="2" t="s">
        <v>37</v>
      </c>
      <c r="N12" s="19">
        <v>2</v>
      </c>
      <c r="O12" s="29">
        <f>N12*K12</f>
        <v>45000</v>
      </c>
      <c r="P12" s="7">
        <f>18000+15000+12000</f>
        <v>45000</v>
      </c>
      <c r="Q12" s="29">
        <f>O12-P12</f>
        <v>0</v>
      </c>
      <c r="S12" t="s">
        <v>66</v>
      </c>
      <c r="T12">
        <v>2</v>
      </c>
    </row>
    <row r="13" spans="1:22" x14ac:dyDescent="0.25">
      <c r="B13" s="22"/>
      <c r="C13" t="s">
        <v>38</v>
      </c>
      <c r="E13" s="17">
        <f>SUM(E10:E12)</f>
        <v>8</v>
      </c>
      <c r="F13" s="18">
        <f>SUM(F10:F12)</f>
        <v>440000</v>
      </c>
      <c r="G13" s="18">
        <f>SUM(G10:G12)</f>
        <v>447800</v>
      </c>
      <c r="H13" s="46">
        <f>SUM(H10:H12)</f>
        <v>-7800</v>
      </c>
      <c r="K13" s="42"/>
      <c r="L13" t="s">
        <v>38</v>
      </c>
      <c r="N13" s="17">
        <f>SUM(N10:N12)</f>
        <v>10</v>
      </c>
      <c r="O13" s="18">
        <f>SUM(O10:O12)</f>
        <v>225000</v>
      </c>
      <c r="P13" s="4">
        <f>SUM(P10:P12)</f>
        <v>227800</v>
      </c>
      <c r="Q13" s="18">
        <f>SUM(Q10:Q12)</f>
        <v>-2800</v>
      </c>
      <c r="S13" t="s">
        <v>2</v>
      </c>
      <c r="T13">
        <v>5</v>
      </c>
    </row>
    <row r="14" spans="1:22" x14ac:dyDescent="0.25">
      <c r="B14" s="22"/>
      <c r="C14" t="s">
        <v>29</v>
      </c>
      <c r="E14" s="17"/>
      <c r="F14" s="18"/>
      <c r="G14" s="18"/>
      <c r="H14" s="18"/>
      <c r="K14" s="42"/>
      <c r="L14" t="s">
        <v>29</v>
      </c>
      <c r="N14" s="17"/>
      <c r="O14" s="18"/>
      <c r="P14" s="4"/>
      <c r="U14" t="s">
        <v>69</v>
      </c>
    </row>
    <row r="15" spans="1:22" x14ac:dyDescent="0.25">
      <c r="A15" t="s">
        <v>44</v>
      </c>
      <c r="B15" s="22">
        <v>60000</v>
      </c>
      <c r="C15" s="1"/>
      <c r="D15" s="1" t="s">
        <v>9</v>
      </c>
      <c r="E15" s="23">
        <f>43750*2/7/E4</f>
        <v>0.25</v>
      </c>
      <c r="F15" s="30">
        <f>E15*B15</f>
        <v>15000</v>
      </c>
      <c r="G15" s="30">
        <f>46500*2/7</f>
        <v>13285.714285714286</v>
      </c>
      <c r="H15" s="30">
        <f>F15-G15</f>
        <v>1714.2857142857138</v>
      </c>
      <c r="J15" t="s">
        <v>44</v>
      </c>
      <c r="K15" s="42">
        <v>20000</v>
      </c>
      <c r="L15" s="1"/>
      <c r="M15" s="1" t="s">
        <v>9</v>
      </c>
      <c r="N15" s="23">
        <f>43750*5/7/N4</f>
        <v>1.25</v>
      </c>
      <c r="O15" s="30">
        <f>N15*K15</f>
        <v>25000</v>
      </c>
      <c r="P15" s="6">
        <f>46500*5/7</f>
        <v>33214.285714285717</v>
      </c>
      <c r="Q15" s="44">
        <f>O15-P15</f>
        <v>-8214.2857142857174</v>
      </c>
      <c r="S15" t="s">
        <v>68</v>
      </c>
      <c r="T15">
        <v>43750</v>
      </c>
    </row>
    <row r="16" spans="1:22" x14ac:dyDescent="0.25">
      <c r="A16" t="s">
        <v>44</v>
      </c>
      <c r="B16" s="22">
        <v>60000</v>
      </c>
      <c r="C16" s="2"/>
      <c r="D16" s="2" t="s">
        <v>10</v>
      </c>
      <c r="E16" s="19">
        <f>'FLEXIBLE BUD'!V22</f>
        <v>0.1</v>
      </c>
      <c r="F16" s="29">
        <f>E16*B16</f>
        <v>6000</v>
      </c>
      <c r="G16" s="29">
        <f>9300*G7/(G7+P7)</f>
        <v>6300</v>
      </c>
      <c r="H16" s="29">
        <f>F16-G16</f>
        <v>-300</v>
      </c>
      <c r="J16" t="s">
        <v>44</v>
      </c>
      <c r="K16" s="42">
        <v>20000</v>
      </c>
      <c r="L16" s="2"/>
      <c r="M16" s="2" t="s">
        <v>10</v>
      </c>
      <c r="N16" s="19">
        <f>'FLEXIBLE BUD'!V23</f>
        <v>0.15</v>
      </c>
      <c r="O16" s="29">
        <f>N16*K16</f>
        <v>3000</v>
      </c>
      <c r="P16" s="7">
        <f>9300*P7/(P7+G7)</f>
        <v>3000</v>
      </c>
      <c r="Q16" s="45">
        <f>O16-P16</f>
        <v>0</v>
      </c>
      <c r="S16" t="s">
        <v>1</v>
      </c>
      <c r="T16">
        <f>T15*2/7</f>
        <v>12500</v>
      </c>
      <c r="U16">
        <f>T16/T8</f>
        <v>0.25</v>
      </c>
    </row>
    <row r="17" spans="1:22" x14ac:dyDescent="0.25">
      <c r="B17" s="22"/>
      <c r="C17" s="1" t="s">
        <v>30</v>
      </c>
      <c r="D17" s="1"/>
      <c r="E17" s="17">
        <f>SUM(E15:E16)</f>
        <v>0.35</v>
      </c>
      <c r="F17" s="18">
        <f>SUM(F15:F16)</f>
        <v>21000</v>
      </c>
      <c r="G17" s="18">
        <f>SUM(G15:G16)</f>
        <v>19585.714285714286</v>
      </c>
      <c r="H17" s="18">
        <f>SUM(H15:H16)</f>
        <v>1414.2857142857138</v>
      </c>
      <c r="K17" s="42"/>
      <c r="L17" s="1" t="s">
        <v>30</v>
      </c>
      <c r="M17" s="1"/>
      <c r="N17" s="17">
        <f>SUM(N15:N16)</f>
        <v>1.4</v>
      </c>
      <c r="O17" s="18">
        <f>SUM(O15:O16)</f>
        <v>28000</v>
      </c>
      <c r="P17" s="4">
        <f>SUM(P15:P16)</f>
        <v>36214.285714285717</v>
      </c>
      <c r="Q17" s="46">
        <f>SUM(Q15:Q16)</f>
        <v>-8214.2857142857174</v>
      </c>
      <c r="S17" t="s">
        <v>2</v>
      </c>
      <c r="T17">
        <f>T15*5/7</f>
        <v>31250</v>
      </c>
      <c r="U17">
        <f>T17/T9</f>
        <v>1.25</v>
      </c>
    </row>
    <row r="18" spans="1:22" x14ac:dyDescent="0.25">
      <c r="B18" s="22"/>
      <c r="C18" s="1"/>
      <c r="D18" s="1"/>
      <c r="E18" s="17"/>
      <c r="F18" s="18"/>
      <c r="G18" s="18"/>
      <c r="H18" s="18"/>
      <c r="K18" s="42"/>
      <c r="L18" s="1"/>
      <c r="M18" s="1"/>
      <c r="N18" s="17"/>
      <c r="O18" s="18"/>
      <c r="P18" s="4"/>
    </row>
    <row r="19" spans="1:22" x14ac:dyDescent="0.25">
      <c r="B19" s="22"/>
      <c r="C19" s="10" t="s">
        <v>11</v>
      </c>
      <c r="D19" s="10"/>
      <c r="E19" s="20">
        <f>E13+E17</f>
        <v>8.35</v>
      </c>
      <c r="F19" s="27">
        <f>F13+F17</f>
        <v>461000</v>
      </c>
      <c r="G19" s="27">
        <f>G13+G17</f>
        <v>467385.71428571426</v>
      </c>
      <c r="H19" s="27">
        <f>H13+H17</f>
        <v>-6385.7142857142862</v>
      </c>
      <c r="I19" s="23"/>
      <c r="K19" s="42"/>
      <c r="L19" s="10" t="s">
        <v>11</v>
      </c>
      <c r="M19" s="10"/>
      <c r="N19" s="20">
        <f>N13+N17</f>
        <v>11.4</v>
      </c>
      <c r="O19" s="27">
        <f>O13+O17</f>
        <v>253000</v>
      </c>
      <c r="P19" s="14">
        <f>P13+P17</f>
        <v>264014.28571428574</v>
      </c>
      <c r="Q19" s="14">
        <f>O19-P19</f>
        <v>-11014.285714285739</v>
      </c>
    </row>
    <row r="20" spans="1:22" x14ac:dyDescent="0.25">
      <c r="B20" s="22"/>
      <c r="E20" s="17"/>
      <c r="F20" s="18"/>
      <c r="G20" s="18"/>
      <c r="H20" s="18"/>
      <c r="K20" s="42"/>
      <c r="N20" s="17"/>
      <c r="O20" s="18"/>
      <c r="P20" s="4"/>
      <c r="Q20" s="4"/>
      <c r="S20" t="s">
        <v>71</v>
      </c>
      <c r="T20" t="s">
        <v>4</v>
      </c>
      <c r="U20" t="s">
        <v>73</v>
      </c>
      <c r="V20" t="s">
        <v>69</v>
      </c>
    </row>
    <row r="21" spans="1:22" x14ac:dyDescent="0.25">
      <c r="B21" s="22"/>
      <c r="C21" s="10" t="s">
        <v>12</v>
      </c>
      <c r="D21" s="10"/>
      <c r="E21" s="20">
        <f>E7-E19</f>
        <v>1.6500000000000004</v>
      </c>
      <c r="F21" s="27">
        <f>F7-F19</f>
        <v>139000</v>
      </c>
      <c r="G21" s="27">
        <f>G7-G19</f>
        <v>162614.28571428574</v>
      </c>
      <c r="H21" s="27">
        <f>H7-H19</f>
        <v>36385.71428571429</v>
      </c>
      <c r="I21" s="23"/>
      <c r="K21" s="42"/>
      <c r="L21" s="10" t="s">
        <v>12</v>
      </c>
      <c r="M21" s="10"/>
      <c r="N21" s="20">
        <f>N7-N19</f>
        <v>3.5999999999999996</v>
      </c>
      <c r="O21" s="27">
        <f>O7-O19</f>
        <v>47000</v>
      </c>
      <c r="P21" s="14">
        <f>P7-P19</f>
        <v>35985.714285714261</v>
      </c>
      <c r="Q21" s="14">
        <f>P21-O21</f>
        <v>-11014.285714285739</v>
      </c>
      <c r="S21" t="s">
        <v>72</v>
      </c>
      <c r="T21">
        <v>8750</v>
      </c>
    </row>
    <row r="22" spans="1:22" x14ac:dyDescent="0.25">
      <c r="B22" s="22"/>
      <c r="E22" s="17"/>
      <c r="F22" s="18"/>
      <c r="G22" s="18"/>
      <c r="H22" s="18"/>
      <c r="K22" s="42"/>
      <c r="N22" s="17"/>
      <c r="O22" s="18"/>
      <c r="P22" s="4"/>
      <c r="S22" t="s">
        <v>1</v>
      </c>
      <c r="T22">
        <v>500000</v>
      </c>
      <c r="U22">
        <f>T21*T22/(T22+T23)</f>
        <v>5000</v>
      </c>
      <c r="V22" s="40">
        <f>U22/T8</f>
        <v>0.1</v>
      </c>
    </row>
    <row r="23" spans="1:22" x14ac:dyDescent="0.25">
      <c r="B23" s="22"/>
      <c r="C23" t="s">
        <v>13</v>
      </c>
      <c r="E23" s="17"/>
      <c r="F23" s="18"/>
      <c r="G23" s="18"/>
      <c r="H23" s="18"/>
      <c r="K23" s="41"/>
      <c r="L23" t="s">
        <v>13</v>
      </c>
      <c r="N23" s="17"/>
      <c r="O23" s="18"/>
      <c r="P23" s="4"/>
      <c r="S23" t="s">
        <v>2</v>
      </c>
      <c r="T23">
        <v>375000</v>
      </c>
      <c r="U23">
        <f>T21*T23/(T22+T23)</f>
        <v>3750</v>
      </c>
      <c r="V23" s="40">
        <f>U23/T9</f>
        <v>0.15</v>
      </c>
    </row>
    <row r="24" spans="1:22" x14ac:dyDescent="0.25">
      <c r="A24" t="s">
        <v>45</v>
      </c>
      <c r="B24" s="22">
        <v>55000</v>
      </c>
      <c r="D24" t="s">
        <v>31</v>
      </c>
      <c r="E24" s="17">
        <v>0.54600000000000004</v>
      </c>
      <c r="F24" s="18">
        <f>E24*B24</f>
        <v>30030.000000000004</v>
      </c>
      <c r="G24" s="18">
        <f>14000+12000+19000</f>
        <v>45000</v>
      </c>
      <c r="H24" s="46">
        <f>F24-G24</f>
        <v>-14969.999999999996</v>
      </c>
      <c r="J24" t="s">
        <v>45</v>
      </c>
      <c r="K24" s="41">
        <v>22500</v>
      </c>
      <c r="M24" t="s">
        <v>32</v>
      </c>
      <c r="N24" s="17">
        <v>0.82799999999999996</v>
      </c>
      <c r="O24" s="18">
        <f>N24*K24</f>
        <v>18630</v>
      </c>
      <c r="P24" s="4">
        <f>11000+9000+1300</f>
        <v>21300</v>
      </c>
      <c r="Q24" s="18">
        <f>O24-P24</f>
        <v>-2670</v>
      </c>
    </row>
    <row r="25" spans="1:22" x14ac:dyDescent="0.25">
      <c r="A25" t="s">
        <v>44</v>
      </c>
      <c r="B25" s="22">
        <v>60000</v>
      </c>
      <c r="C25" s="1"/>
      <c r="D25" s="1" t="s">
        <v>14</v>
      </c>
      <c r="E25" s="17">
        <v>0.48</v>
      </c>
      <c r="F25" s="18">
        <f>E25*B25</f>
        <v>28800</v>
      </c>
      <c r="G25" s="18">
        <f>38500*F4/(F4+O4)</f>
        <v>28875</v>
      </c>
      <c r="H25" s="18">
        <f>F25-G25</f>
        <v>-75</v>
      </c>
      <c r="J25" t="s">
        <v>44</v>
      </c>
      <c r="K25" s="42">
        <v>20000</v>
      </c>
      <c r="L25" s="1"/>
      <c r="M25" s="1" t="s">
        <v>14</v>
      </c>
      <c r="N25" s="17">
        <v>0.48</v>
      </c>
      <c r="O25" s="18">
        <f>N25*K25</f>
        <v>9600</v>
      </c>
      <c r="P25" s="18">
        <f>38500*O4/(F4+O4)</f>
        <v>9625</v>
      </c>
      <c r="Q25" s="18">
        <f>O25-P25</f>
        <v>-25</v>
      </c>
      <c r="S25" t="s">
        <v>21</v>
      </c>
    </row>
    <row r="26" spans="1:22" x14ac:dyDescent="0.25">
      <c r="A26" t="s">
        <v>44</v>
      </c>
      <c r="B26" s="22">
        <v>60000</v>
      </c>
      <c r="C26" s="1"/>
      <c r="D26" s="1" t="s">
        <v>15</v>
      </c>
      <c r="E26" s="17">
        <v>0.23333333333333334</v>
      </c>
      <c r="F26" s="18">
        <f>E26*B26</f>
        <v>14000</v>
      </c>
      <c r="G26" s="18">
        <f>18500*F4/(F4+O4)</f>
        <v>13875</v>
      </c>
      <c r="H26" s="18">
        <f>F26-G26</f>
        <v>125</v>
      </c>
      <c r="J26" t="s">
        <v>44</v>
      </c>
      <c r="K26" s="42">
        <v>20000</v>
      </c>
      <c r="L26" s="1"/>
      <c r="M26" s="1" t="s">
        <v>15</v>
      </c>
      <c r="N26" s="17">
        <v>0.23333333333333334</v>
      </c>
      <c r="O26" s="18">
        <f>N26*K26</f>
        <v>4666.666666666667</v>
      </c>
      <c r="P26" s="18">
        <f>18500*O4/(F4+O4)</f>
        <v>4625</v>
      </c>
      <c r="Q26" s="18">
        <f>O26-P26</f>
        <v>41.66666666666697</v>
      </c>
    </row>
    <row r="27" spans="1:22" x14ac:dyDescent="0.25">
      <c r="C27" s="10" t="s">
        <v>16</v>
      </c>
      <c r="D27" s="10"/>
      <c r="E27" s="20">
        <f>SUM(E24:E26)</f>
        <v>1.2593333333333334</v>
      </c>
      <c r="F27" s="27">
        <f>SUM(F24:F26)</f>
        <v>72830</v>
      </c>
      <c r="G27" s="27">
        <f>SUM(G24:G26)</f>
        <v>87750</v>
      </c>
      <c r="H27" s="27">
        <f>SUM(H24:H26)</f>
        <v>-14919.999999999996</v>
      </c>
      <c r="I27" s="1"/>
      <c r="J27" s="1"/>
      <c r="K27" s="42"/>
      <c r="L27" s="10" t="s">
        <v>16</v>
      </c>
      <c r="M27" s="10"/>
      <c r="N27" s="20">
        <v>1.5413333333333332</v>
      </c>
      <c r="O27" s="27">
        <f>SUM(O24:O26)</f>
        <v>32896.666666666664</v>
      </c>
      <c r="P27" s="14">
        <f>SUM(P24:P26)</f>
        <v>35550</v>
      </c>
      <c r="Q27" s="27">
        <f>O27-P27</f>
        <v>-2653.3333333333358</v>
      </c>
    </row>
    <row r="28" spans="1:22" x14ac:dyDescent="0.25">
      <c r="C28" s="1"/>
      <c r="D28" s="1"/>
      <c r="E28" s="23"/>
      <c r="F28" s="18"/>
      <c r="G28" s="18"/>
      <c r="H28" s="30"/>
      <c r="I28" s="1"/>
      <c r="J28" s="1"/>
      <c r="K28" s="26"/>
      <c r="L28" s="1"/>
      <c r="M28" s="1"/>
      <c r="N28" s="23"/>
      <c r="O28" s="18"/>
      <c r="P28" s="6"/>
    </row>
    <row r="29" spans="1:22" x14ac:dyDescent="0.25">
      <c r="C29" t="s">
        <v>39</v>
      </c>
      <c r="F29" s="4"/>
      <c r="G29" s="4">
        <f>339000-280000</f>
        <v>59000</v>
      </c>
      <c r="H29" s="4">
        <f>-G29</f>
        <v>-59000</v>
      </c>
      <c r="K29" s="25"/>
      <c r="L29" t="s">
        <v>39</v>
      </c>
      <c r="O29" s="4"/>
      <c r="P29" s="4">
        <f>180000-P10</f>
        <v>42000</v>
      </c>
      <c r="Q29" s="4">
        <f>-P29</f>
        <v>-42000</v>
      </c>
    </row>
    <row r="30" spans="1:22" x14ac:dyDescent="0.25">
      <c r="E30" s="17"/>
      <c r="F30" s="18"/>
      <c r="G30" s="18"/>
      <c r="H30" s="18"/>
      <c r="K30" s="26"/>
      <c r="N30" s="17"/>
      <c r="O30" s="18"/>
      <c r="P30" s="4"/>
    </row>
    <row r="31" spans="1:22" ht="15.75" thickBot="1" x14ac:dyDescent="0.3">
      <c r="C31" s="3" t="s">
        <v>17</v>
      </c>
      <c r="D31" s="3"/>
      <c r="E31" s="21">
        <f>E21-E27</f>
        <v>0.39066666666666694</v>
      </c>
      <c r="F31" s="28">
        <f>F21-F27-F29</f>
        <v>66170</v>
      </c>
      <c r="G31" s="28">
        <f>G21-G27-G29</f>
        <v>15864.285714285739</v>
      </c>
      <c r="H31" s="28">
        <f>G31-F31</f>
        <v>-50305.714285714261</v>
      </c>
      <c r="I31" s="1"/>
      <c r="J31" s="1"/>
      <c r="K31" s="26"/>
      <c r="L31" s="3" t="s">
        <v>17</v>
      </c>
      <c r="M31" s="3"/>
      <c r="N31" s="21">
        <f>N21-N27</f>
        <v>2.0586666666666664</v>
      </c>
      <c r="O31" s="28">
        <f>O21-O27-O29</f>
        <v>14103.333333333336</v>
      </c>
      <c r="P31" s="28">
        <f>P21-P27-P29</f>
        <v>-41564.285714285739</v>
      </c>
      <c r="Q31" s="28">
        <f>P31-O31</f>
        <v>-55667.619047619075</v>
      </c>
    </row>
    <row r="32" spans="1:22" ht="15.75" thickTop="1" x14ac:dyDescent="0.25">
      <c r="H32" s="18"/>
      <c r="K32" s="26"/>
      <c r="Q32" s="4"/>
    </row>
    <row r="33" spans="3:15" x14ac:dyDescent="0.25">
      <c r="C33" t="s">
        <v>46</v>
      </c>
      <c r="K33" s="1"/>
    </row>
    <row r="34" spans="3:15" x14ac:dyDescent="0.25">
      <c r="D34" s="18">
        <f>H31+Q31</f>
        <v>-105973.33333333334</v>
      </c>
    </row>
    <row r="38" spans="3:15" x14ac:dyDescent="0.25">
      <c r="D38" t="s">
        <v>0</v>
      </c>
    </row>
    <row r="39" spans="3:15" x14ac:dyDescent="0.25">
      <c r="D39" t="s">
        <v>74</v>
      </c>
      <c r="M39" t="s">
        <v>75</v>
      </c>
    </row>
    <row r="40" spans="3:15" x14ac:dyDescent="0.25">
      <c r="D40" t="s">
        <v>21</v>
      </c>
      <c r="E40" t="s">
        <v>76</v>
      </c>
      <c r="F40" t="s">
        <v>77</v>
      </c>
      <c r="G40">
        <f>63/6</f>
        <v>10.5</v>
      </c>
      <c r="M40" t="s">
        <v>78</v>
      </c>
      <c r="N40" t="s">
        <v>3</v>
      </c>
      <c r="O40">
        <f>300/20</f>
        <v>15</v>
      </c>
    </row>
    <row r="41" spans="3:15" x14ac:dyDescent="0.25">
      <c r="D41" t="s">
        <v>79</v>
      </c>
    </row>
    <row r="43" spans="3:15" x14ac:dyDescent="0.25">
      <c r="D43" t="s">
        <v>20</v>
      </c>
    </row>
    <row r="44" spans="3:15" x14ac:dyDescent="0.25">
      <c r="D44" t="s">
        <v>51</v>
      </c>
      <c r="M44" t="s">
        <v>53</v>
      </c>
    </row>
    <row r="45" spans="3:15" x14ac:dyDescent="0.25">
      <c r="D45" t="s">
        <v>52</v>
      </c>
    </row>
    <row r="47" spans="3:15" x14ac:dyDescent="0.25">
      <c r="D47" t="s">
        <v>54</v>
      </c>
    </row>
    <row r="48" spans="3:15" x14ac:dyDescent="0.25">
      <c r="D48" t="s">
        <v>55</v>
      </c>
      <c r="I48" t="s">
        <v>57</v>
      </c>
      <c r="M48" t="s">
        <v>56</v>
      </c>
    </row>
    <row r="49" spans="4:13" x14ac:dyDescent="0.25">
      <c r="D49" t="s">
        <v>58</v>
      </c>
      <c r="M49" t="s">
        <v>59</v>
      </c>
    </row>
    <row r="51" spans="4:13" x14ac:dyDescent="0.25">
      <c r="D51" t="s">
        <v>60</v>
      </c>
      <c r="M51" t="s">
        <v>61</v>
      </c>
    </row>
    <row r="53" spans="4:13" x14ac:dyDescent="0.25">
      <c r="D53" t="s">
        <v>80</v>
      </c>
    </row>
    <row r="57" spans="4:13" x14ac:dyDescent="0.25">
      <c r="D57" t="s">
        <v>63</v>
      </c>
    </row>
    <row r="58" spans="4:13" x14ac:dyDescent="0.25">
      <c r="D58" t="s">
        <v>67</v>
      </c>
    </row>
    <row r="62" spans="4:13" x14ac:dyDescent="0.25">
      <c r="D62" t="s">
        <v>81</v>
      </c>
    </row>
    <row r="63" spans="4:13" x14ac:dyDescent="0.25">
      <c r="D63" t="s">
        <v>82</v>
      </c>
    </row>
    <row r="64" spans="4:13" x14ac:dyDescent="0.25">
      <c r="D64" t="s">
        <v>83</v>
      </c>
    </row>
    <row r="65" spans="4:4" x14ac:dyDescent="0.25">
      <c r="D65" t="s">
        <v>84</v>
      </c>
    </row>
    <row r="66" spans="4:4" x14ac:dyDescent="0.25">
      <c r="D66" t="s">
        <v>86</v>
      </c>
    </row>
    <row r="67" spans="4:4" x14ac:dyDescent="0.25">
      <c r="D67" t="s">
        <v>85</v>
      </c>
    </row>
  </sheetData>
  <mergeCells count="2">
    <mergeCell ref="A6:B6"/>
    <mergeCell ref="J6:K6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2"/>
  <sheetViews>
    <sheetView topLeftCell="A22" workbookViewId="0">
      <selection activeCell="D37" sqref="D37:G56"/>
    </sheetView>
  </sheetViews>
  <sheetFormatPr defaultRowHeight="15" x14ac:dyDescent="0.25"/>
  <cols>
    <col min="3" max="3" width="3.42578125" customWidth="1"/>
    <col min="4" max="4" width="33.140625" customWidth="1"/>
    <col min="7" max="7" width="10" bestFit="1" customWidth="1"/>
    <col min="8" max="8" width="10.140625" bestFit="1" customWidth="1"/>
    <col min="9" max="9" width="14.28515625" bestFit="1" customWidth="1"/>
    <col min="10" max="10" width="9.5703125" bestFit="1" customWidth="1"/>
    <col min="11" max="11" width="6.5703125" bestFit="1" customWidth="1"/>
    <col min="12" max="12" width="4.42578125" customWidth="1"/>
    <col min="13" max="13" width="25.7109375" bestFit="1" customWidth="1"/>
    <col min="14" max="14" width="14.42578125" bestFit="1" customWidth="1"/>
    <col min="15" max="16" width="10" bestFit="1" customWidth="1"/>
    <col min="17" max="17" width="9.7109375" bestFit="1" customWidth="1"/>
  </cols>
  <sheetData>
    <row r="3" spans="3:17" x14ac:dyDescent="0.25">
      <c r="C3" s="31"/>
      <c r="D3" s="32"/>
      <c r="E3" s="33" t="s">
        <v>33</v>
      </c>
      <c r="F3" s="32" t="s">
        <v>40</v>
      </c>
      <c r="G3" s="34" t="s">
        <v>41</v>
      </c>
      <c r="K3" s="17"/>
      <c r="L3" s="31"/>
      <c r="M3" s="32"/>
      <c r="N3" s="33" t="s">
        <v>33</v>
      </c>
      <c r="O3" s="32" t="s">
        <v>40</v>
      </c>
      <c r="P3" s="34" t="s">
        <v>41</v>
      </c>
    </row>
    <row r="4" spans="3:17" x14ac:dyDescent="0.25">
      <c r="C4" s="35" t="s">
        <v>27</v>
      </c>
      <c r="D4" s="2"/>
      <c r="E4" s="36">
        <v>50000</v>
      </c>
      <c r="F4" s="36">
        <v>60000</v>
      </c>
      <c r="G4" s="37">
        <v>55000</v>
      </c>
      <c r="L4" s="35" t="s">
        <v>27</v>
      </c>
      <c r="M4" s="2"/>
      <c r="N4" s="36">
        <v>25000</v>
      </c>
      <c r="O4" s="36">
        <v>20000</v>
      </c>
      <c r="P4" s="37">
        <v>22500</v>
      </c>
    </row>
    <row r="6" spans="3:17" ht="30" x14ac:dyDescent="0.25">
      <c r="C6" s="5"/>
      <c r="D6" s="5"/>
      <c r="E6" s="5" t="s">
        <v>22</v>
      </c>
      <c r="F6" s="24" t="s">
        <v>42</v>
      </c>
      <c r="G6" s="24" t="s">
        <v>43</v>
      </c>
      <c r="H6" s="5" t="s">
        <v>25</v>
      </c>
      <c r="I6" s="5"/>
      <c r="J6" s="39" t="s">
        <v>34</v>
      </c>
      <c r="K6" s="39"/>
      <c r="L6" s="5"/>
      <c r="M6" s="5"/>
      <c r="N6" s="5" t="s">
        <v>22</v>
      </c>
      <c r="O6" s="24" t="s">
        <v>42</v>
      </c>
      <c r="P6" s="24" t="s">
        <v>43</v>
      </c>
      <c r="Q6" s="5" t="s">
        <v>25</v>
      </c>
    </row>
    <row r="7" spans="3:17" x14ac:dyDescent="0.25">
      <c r="C7" s="10" t="s">
        <v>23</v>
      </c>
      <c r="D7" s="13"/>
      <c r="E7" s="11">
        <f>500000/50000</f>
        <v>10</v>
      </c>
      <c r="F7" s="12">
        <f>E7*B7</f>
        <v>0</v>
      </c>
      <c r="G7" s="12">
        <v>630000</v>
      </c>
      <c r="H7" s="12">
        <f>G7-F7</f>
        <v>630000</v>
      </c>
      <c r="I7" s="9"/>
      <c r="J7" t="s">
        <v>44</v>
      </c>
      <c r="K7" s="41">
        <v>20000</v>
      </c>
      <c r="L7" s="10" t="s">
        <v>23</v>
      </c>
      <c r="M7" s="13"/>
      <c r="N7" s="12">
        <f>375000/25000</f>
        <v>15</v>
      </c>
      <c r="O7" s="12">
        <v>300000</v>
      </c>
      <c r="P7" s="12">
        <v>300000</v>
      </c>
      <c r="Q7" s="14">
        <f>O7-P7</f>
        <v>0</v>
      </c>
    </row>
    <row r="8" spans="3:17" x14ac:dyDescent="0.25">
      <c r="K8" s="41"/>
      <c r="P8" s="4"/>
    </row>
    <row r="9" spans="3:17" x14ac:dyDescent="0.25">
      <c r="C9" t="s">
        <v>28</v>
      </c>
      <c r="E9" s="17"/>
      <c r="F9" s="18"/>
      <c r="G9" s="18"/>
      <c r="H9" s="18"/>
      <c r="K9" s="42"/>
      <c r="L9" t="s">
        <v>28</v>
      </c>
      <c r="N9" s="17"/>
      <c r="O9" s="18"/>
      <c r="P9" s="4"/>
    </row>
    <row r="10" spans="3:17" x14ac:dyDescent="0.25">
      <c r="D10" t="s">
        <v>35</v>
      </c>
      <c r="E10" s="17">
        <v>5</v>
      </c>
      <c r="F10" s="18">
        <f>E10*B10</f>
        <v>0</v>
      </c>
      <c r="G10" s="18">
        <v>280000</v>
      </c>
      <c r="H10" s="46">
        <f>F10-G10</f>
        <v>-280000</v>
      </c>
      <c r="J10" t="s">
        <v>45</v>
      </c>
      <c r="K10" s="42">
        <v>22500</v>
      </c>
      <c r="M10" t="s">
        <v>35</v>
      </c>
      <c r="N10" s="17">
        <v>6</v>
      </c>
      <c r="O10" s="18">
        <f>K10*N10</f>
        <v>135000</v>
      </c>
      <c r="P10" s="4">
        <v>138000</v>
      </c>
      <c r="Q10" s="18">
        <f>O10-P10</f>
        <v>-3000</v>
      </c>
    </row>
    <row r="11" spans="3:17" x14ac:dyDescent="0.25">
      <c r="D11" t="s">
        <v>36</v>
      </c>
      <c r="E11" s="17">
        <v>1</v>
      </c>
      <c r="F11" s="18">
        <f>E11*B11</f>
        <v>0</v>
      </c>
      <c r="G11" s="18">
        <v>55800</v>
      </c>
      <c r="H11" s="46">
        <f>F11-G11</f>
        <v>-55800</v>
      </c>
      <c r="J11" t="s">
        <v>45</v>
      </c>
      <c r="K11" s="42">
        <v>22500</v>
      </c>
      <c r="L11" s="1"/>
      <c r="M11" s="1" t="s">
        <v>36</v>
      </c>
      <c r="N11" s="23">
        <v>2</v>
      </c>
      <c r="O11" s="30">
        <f>N11*K11</f>
        <v>45000</v>
      </c>
      <c r="P11" s="6">
        <v>44800</v>
      </c>
      <c r="Q11" s="18">
        <f>O11-P11</f>
        <v>200</v>
      </c>
    </row>
    <row r="12" spans="3:17" x14ac:dyDescent="0.25">
      <c r="C12" s="2"/>
      <c r="D12" s="2" t="s">
        <v>37</v>
      </c>
      <c r="E12" s="19">
        <v>2</v>
      </c>
      <c r="F12" s="29">
        <f>E12*B12</f>
        <v>0</v>
      </c>
      <c r="G12" s="29">
        <f>43000+50000+19000</f>
        <v>112000</v>
      </c>
      <c r="H12" s="45">
        <f>F12-G12</f>
        <v>-112000</v>
      </c>
      <c r="J12" t="s">
        <v>45</v>
      </c>
      <c r="K12" s="43">
        <v>22500</v>
      </c>
      <c r="L12" s="2"/>
      <c r="M12" s="2" t="s">
        <v>37</v>
      </c>
      <c r="N12" s="19">
        <v>2</v>
      </c>
      <c r="O12" s="29">
        <f>N12*K12</f>
        <v>45000</v>
      </c>
      <c r="P12" s="7">
        <f>18000+15000+12000</f>
        <v>45000</v>
      </c>
      <c r="Q12" s="29">
        <f>O12-P12</f>
        <v>0</v>
      </c>
    </row>
    <row r="13" spans="3:17" x14ac:dyDescent="0.25">
      <c r="C13" t="s">
        <v>38</v>
      </c>
      <c r="E13" s="17">
        <f>SUM(E10:E12)</f>
        <v>8</v>
      </c>
      <c r="F13" s="18">
        <f>SUM(F10:F12)</f>
        <v>0</v>
      </c>
      <c r="G13" s="18">
        <f>SUM(G10:G12)</f>
        <v>447800</v>
      </c>
      <c r="H13" s="46">
        <f>SUM(H10:H12)</f>
        <v>-447800</v>
      </c>
      <c r="K13" s="42"/>
      <c r="L13" t="s">
        <v>38</v>
      </c>
      <c r="N13" s="17">
        <f>SUM(N10:N12)</f>
        <v>10</v>
      </c>
      <c r="O13" s="18">
        <f>SUM(O10:O12)</f>
        <v>225000</v>
      </c>
      <c r="P13" s="4">
        <f>SUM(P10:P12)</f>
        <v>227800</v>
      </c>
      <c r="Q13" s="18">
        <f>SUM(Q10:Q12)</f>
        <v>-2800</v>
      </c>
    </row>
    <row r="14" spans="3:17" x14ac:dyDescent="0.25">
      <c r="C14" t="s">
        <v>29</v>
      </c>
      <c r="E14" s="17"/>
      <c r="F14" s="18"/>
      <c r="G14" s="18"/>
      <c r="H14" s="18"/>
      <c r="K14" s="42"/>
      <c r="L14" t="s">
        <v>29</v>
      </c>
      <c r="N14" s="17"/>
      <c r="O14" s="18"/>
      <c r="P14" s="4"/>
    </row>
    <row r="15" spans="3:17" x14ac:dyDescent="0.25">
      <c r="C15" s="1"/>
      <c r="D15" s="1" t="s">
        <v>9</v>
      </c>
      <c r="E15" s="23">
        <f>43750/(E4+N4)</f>
        <v>0.58333333333333337</v>
      </c>
      <c r="F15" s="30">
        <f>E15*B15</f>
        <v>0</v>
      </c>
      <c r="G15" s="30">
        <f>46500*G7/(G7+P7)</f>
        <v>31500</v>
      </c>
      <c r="H15" s="30">
        <f>F15-G15</f>
        <v>-31500</v>
      </c>
      <c r="I15" t="s">
        <v>62</v>
      </c>
      <c r="J15" t="s">
        <v>44</v>
      </c>
      <c r="K15" s="42">
        <v>20000</v>
      </c>
      <c r="L15" s="1"/>
      <c r="M15" s="1" t="s">
        <v>9</v>
      </c>
      <c r="N15" s="23">
        <f>43750*N7/(E4*E7+N7*N4)</f>
        <v>0.75</v>
      </c>
      <c r="O15" s="30">
        <f>N15*K15</f>
        <v>15000</v>
      </c>
      <c r="P15" s="6">
        <f>46500*P7/(P7+G7)</f>
        <v>15000</v>
      </c>
      <c r="Q15" s="44">
        <f>O15-P15</f>
        <v>0</v>
      </c>
    </row>
    <row r="16" spans="3:17" x14ac:dyDescent="0.25">
      <c r="C16" s="2"/>
      <c r="D16" s="2" t="s">
        <v>10</v>
      </c>
      <c r="E16" s="19">
        <f>8750/(E4+N4)*E7/(E7+N7)</f>
        <v>4.6666666666666669E-2</v>
      </c>
      <c r="F16" s="29">
        <f>E16*B16</f>
        <v>0</v>
      </c>
      <c r="G16" s="29">
        <f>9300*G7/(G7+P7)</f>
        <v>6300</v>
      </c>
      <c r="H16" s="29">
        <f>F16-G16</f>
        <v>-6300</v>
      </c>
      <c r="I16" t="s">
        <v>62</v>
      </c>
      <c r="J16" t="s">
        <v>44</v>
      </c>
      <c r="K16" s="42">
        <v>20000</v>
      </c>
      <c r="L16" s="2"/>
      <c r="M16" s="2" t="s">
        <v>10</v>
      </c>
      <c r="N16" s="19">
        <f>8750/(E4+N4)*N7/(E7+N7)</f>
        <v>7.0000000000000007E-2</v>
      </c>
      <c r="O16" s="29">
        <f>N16*K16</f>
        <v>1400.0000000000002</v>
      </c>
      <c r="P16" s="7">
        <f>9300*P7/(P7+G7)</f>
        <v>3000</v>
      </c>
      <c r="Q16" s="45">
        <f>O16-P16</f>
        <v>-1599.9999999999998</v>
      </c>
    </row>
    <row r="17" spans="3:17" x14ac:dyDescent="0.25">
      <c r="C17" s="1" t="s">
        <v>30</v>
      </c>
      <c r="D17" s="1"/>
      <c r="E17" s="17">
        <f>SUM(E15:E16)</f>
        <v>0.63</v>
      </c>
      <c r="F17" s="18">
        <f>SUM(F15:F16)</f>
        <v>0</v>
      </c>
      <c r="G17" s="18">
        <f>SUM(G15:G16)</f>
        <v>37800</v>
      </c>
      <c r="H17" s="18">
        <f>SUM(H15:H16)</f>
        <v>-37800</v>
      </c>
      <c r="K17" s="42"/>
      <c r="L17" s="1" t="s">
        <v>30</v>
      </c>
      <c r="M17" s="1"/>
      <c r="N17" s="17">
        <f>SUM(N15:N16)</f>
        <v>0.82000000000000006</v>
      </c>
      <c r="O17" s="18">
        <f>SUM(O15:O16)</f>
        <v>16400</v>
      </c>
      <c r="P17" s="4">
        <f>SUM(P15:P16)</f>
        <v>18000</v>
      </c>
      <c r="Q17" s="46">
        <f>SUM(Q15:Q16)</f>
        <v>-1599.9999999999998</v>
      </c>
    </row>
    <row r="18" spans="3:17" x14ac:dyDescent="0.25">
      <c r="C18" s="1"/>
      <c r="D18" s="1"/>
      <c r="E18" s="17"/>
      <c r="F18" s="18"/>
      <c r="G18" s="18"/>
      <c r="H18" s="18"/>
      <c r="K18" s="42"/>
      <c r="L18" s="1"/>
      <c r="M18" s="1"/>
      <c r="N18" s="17"/>
      <c r="O18" s="18"/>
      <c r="P18" s="4"/>
    </row>
    <row r="19" spans="3:17" x14ac:dyDescent="0.25">
      <c r="C19" s="10" t="s">
        <v>11</v>
      </c>
      <c r="D19" s="10"/>
      <c r="E19" s="20">
        <f>E13+E17</f>
        <v>8.6300000000000008</v>
      </c>
      <c r="F19" s="27">
        <f>F13+F17</f>
        <v>0</v>
      </c>
      <c r="G19" s="27">
        <f>G13+G17</f>
        <v>485600</v>
      </c>
      <c r="H19" s="27">
        <f>H13+H17</f>
        <v>-485600</v>
      </c>
      <c r="I19" s="23"/>
      <c r="K19" s="42"/>
      <c r="L19" s="10" t="s">
        <v>11</v>
      </c>
      <c r="M19" s="10"/>
      <c r="N19" s="20">
        <f>N13+N17</f>
        <v>10.82</v>
      </c>
      <c r="O19" s="27">
        <f>O13+O17</f>
        <v>241400</v>
      </c>
      <c r="P19" s="14">
        <f>P13+P17</f>
        <v>245800</v>
      </c>
      <c r="Q19" s="14">
        <f>O19-P19</f>
        <v>-4400</v>
      </c>
    </row>
    <row r="20" spans="3:17" x14ac:dyDescent="0.25">
      <c r="E20" s="17"/>
      <c r="F20" s="18"/>
      <c r="G20" s="18"/>
      <c r="H20" s="18"/>
      <c r="K20" s="42"/>
      <c r="N20" s="17"/>
      <c r="O20" s="18"/>
      <c r="P20" s="4"/>
      <c r="Q20" s="4"/>
    </row>
    <row r="21" spans="3:17" x14ac:dyDescent="0.25">
      <c r="C21" s="10" t="s">
        <v>12</v>
      </c>
      <c r="D21" s="10"/>
      <c r="E21" s="20">
        <f>E7-E19</f>
        <v>1.3699999999999992</v>
      </c>
      <c r="F21" s="27">
        <f>F7-F19</f>
        <v>0</v>
      </c>
      <c r="G21" s="27">
        <f>G7-G19</f>
        <v>144400</v>
      </c>
      <c r="H21" s="27">
        <f>H7-H19</f>
        <v>1115600</v>
      </c>
      <c r="I21" s="23"/>
      <c r="K21" s="42"/>
      <c r="L21" s="10" t="s">
        <v>12</v>
      </c>
      <c r="M21" s="10"/>
      <c r="N21" s="20">
        <f>N7-N19</f>
        <v>4.18</v>
      </c>
      <c r="O21" s="27">
        <f>O7-O19</f>
        <v>58600</v>
      </c>
      <c r="P21" s="14">
        <f>P7-P19</f>
        <v>54200</v>
      </c>
      <c r="Q21" s="14">
        <f>P21-O21</f>
        <v>-4400</v>
      </c>
    </row>
    <row r="22" spans="3:17" x14ac:dyDescent="0.25">
      <c r="E22" s="17"/>
      <c r="F22" s="18"/>
      <c r="G22" s="18"/>
      <c r="H22" s="18"/>
      <c r="K22" s="42"/>
      <c r="N22" s="17"/>
      <c r="O22" s="18"/>
      <c r="P22" s="4"/>
    </row>
    <row r="23" spans="3:17" x14ac:dyDescent="0.25">
      <c r="C23" t="s">
        <v>13</v>
      </c>
      <c r="E23" s="17"/>
      <c r="F23" s="18"/>
      <c r="G23" s="18"/>
      <c r="H23" s="18"/>
      <c r="K23" s="41"/>
      <c r="L23" t="s">
        <v>13</v>
      </c>
      <c r="N23" s="17"/>
      <c r="O23" s="18"/>
      <c r="P23" s="4"/>
    </row>
    <row r="24" spans="3:17" x14ac:dyDescent="0.25">
      <c r="D24" t="s">
        <v>31</v>
      </c>
      <c r="E24" s="17">
        <v>0.54600000000000004</v>
      </c>
      <c r="F24" s="18">
        <f>E24*B24</f>
        <v>0</v>
      </c>
      <c r="G24" s="18">
        <f>14000+12000+19000</f>
        <v>45000</v>
      </c>
      <c r="H24" s="46">
        <f>F24-G24</f>
        <v>-45000</v>
      </c>
      <c r="J24" t="s">
        <v>45</v>
      </c>
      <c r="K24" s="41">
        <v>22500</v>
      </c>
      <c r="M24" t="s">
        <v>32</v>
      </c>
      <c r="N24" s="17">
        <v>0.82799999999999996</v>
      </c>
      <c r="O24" s="18">
        <f>N24*K24</f>
        <v>18630</v>
      </c>
      <c r="P24" s="4">
        <f>11000+9000+1300</f>
        <v>21300</v>
      </c>
      <c r="Q24" s="18">
        <f>O24-P24</f>
        <v>-2670</v>
      </c>
    </row>
    <row r="25" spans="3:17" x14ac:dyDescent="0.25">
      <c r="C25" s="1"/>
      <c r="D25" s="1" t="s">
        <v>14</v>
      </c>
      <c r="E25" s="17">
        <v>0.48</v>
      </c>
      <c r="F25" s="18">
        <f>E25*B25</f>
        <v>0</v>
      </c>
      <c r="G25" s="18">
        <f>38500*F4/(F4+O4)</f>
        <v>28875</v>
      </c>
      <c r="H25" s="18">
        <f>F25-G25</f>
        <v>-28875</v>
      </c>
      <c r="J25" t="s">
        <v>44</v>
      </c>
      <c r="K25" s="42">
        <v>20000</v>
      </c>
      <c r="L25" s="1"/>
      <c r="M25" s="1" t="s">
        <v>14</v>
      </c>
      <c r="N25" s="17">
        <v>0.48</v>
      </c>
      <c r="O25" s="18">
        <f>N25*K25</f>
        <v>9600</v>
      </c>
      <c r="P25" s="18">
        <f>38500*O4/(F4+O4)</f>
        <v>9625</v>
      </c>
      <c r="Q25" s="18">
        <f>O25-P25</f>
        <v>-25</v>
      </c>
    </row>
    <row r="26" spans="3:17" x14ac:dyDescent="0.25">
      <c r="C26" s="1"/>
      <c r="D26" s="1" t="s">
        <v>15</v>
      </c>
      <c r="E26" s="17">
        <v>0.23333333333333334</v>
      </c>
      <c r="F26" s="18">
        <f>E26*B26</f>
        <v>0</v>
      </c>
      <c r="G26" s="18">
        <f>18500*F4/(F4+O4)</f>
        <v>13875</v>
      </c>
      <c r="H26" s="18">
        <f>F26-G26</f>
        <v>-13875</v>
      </c>
      <c r="J26" t="s">
        <v>44</v>
      </c>
      <c r="K26" s="42">
        <v>20000</v>
      </c>
      <c r="L26" s="1"/>
      <c r="M26" s="1" t="s">
        <v>15</v>
      </c>
      <c r="N26" s="17">
        <v>0.23333333333333334</v>
      </c>
      <c r="O26" s="18">
        <f>N26*K26</f>
        <v>4666.666666666667</v>
      </c>
      <c r="P26" s="18">
        <f>18500*O4/(F4+O4)</f>
        <v>4625</v>
      </c>
      <c r="Q26" s="18">
        <f>O26-P26</f>
        <v>41.66666666666697</v>
      </c>
    </row>
    <row r="27" spans="3:17" x14ac:dyDescent="0.25">
      <c r="C27" s="10" t="s">
        <v>16</v>
      </c>
      <c r="D27" s="10"/>
      <c r="E27" s="20">
        <f>SUM(E24:E26)</f>
        <v>1.2593333333333334</v>
      </c>
      <c r="F27" s="27">
        <f>SUM(F24:F26)</f>
        <v>0</v>
      </c>
      <c r="G27" s="27">
        <f>SUM(G24:G26)</f>
        <v>87750</v>
      </c>
      <c r="H27" s="27">
        <f>SUM(H24:H26)</f>
        <v>-87750</v>
      </c>
      <c r="I27" s="1"/>
      <c r="J27" s="1"/>
      <c r="K27" s="42"/>
      <c r="L27" s="10" t="s">
        <v>16</v>
      </c>
      <c r="M27" s="10"/>
      <c r="N27" s="20">
        <v>1.5413333333333332</v>
      </c>
      <c r="O27" s="27">
        <f>SUM(O24:O26)</f>
        <v>32896.666666666664</v>
      </c>
      <c r="P27" s="14">
        <f>SUM(P24:P26)</f>
        <v>35550</v>
      </c>
      <c r="Q27" s="27">
        <f>O27-P27</f>
        <v>-2653.3333333333358</v>
      </c>
    </row>
    <row r="28" spans="3:17" x14ac:dyDescent="0.25">
      <c r="C28" s="1"/>
      <c r="D28" s="1"/>
      <c r="E28" s="23"/>
      <c r="F28" s="18"/>
      <c r="G28" s="18"/>
      <c r="H28" s="30"/>
      <c r="I28" s="1"/>
      <c r="J28" s="1"/>
      <c r="K28" s="26"/>
      <c r="L28" s="1"/>
      <c r="M28" s="1"/>
      <c r="N28" s="23"/>
      <c r="O28" s="18"/>
      <c r="P28" s="6"/>
    </row>
    <row r="29" spans="3:17" x14ac:dyDescent="0.25">
      <c r="C29" t="s">
        <v>39</v>
      </c>
      <c r="F29" s="4"/>
      <c r="G29" s="4">
        <f>339000-280000</f>
        <v>59000</v>
      </c>
      <c r="H29" s="4">
        <f>-G29</f>
        <v>-59000</v>
      </c>
      <c r="K29" s="25"/>
      <c r="L29" t="s">
        <v>39</v>
      </c>
      <c r="O29" s="4"/>
      <c r="P29" s="4">
        <f>180000-P10</f>
        <v>42000</v>
      </c>
      <c r="Q29" s="4">
        <f>-P29</f>
        <v>-42000</v>
      </c>
    </row>
    <row r="30" spans="3:17" x14ac:dyDescent="0.25">
      <c r="E30" s="17"/>
      <c r="F30" s="18"/>
      <c r="G30" s="18"/>
      <c r="H30" s="18"/>
      <c r="K30" s="26"/>
      <c r="N30" s="17"/>
      <c r="O30" s="18"/>
      <c r="P30" s="4"/>
    </row>
    <row r="31" spans="3:17" ht="15.75" thickBot="1" x14ac:dyDescent="0.3">
      <c r="C31" s="3" t="s">
        <v>17</v>
      </c>
      <c r="D31" s="3"/>
      <c r="E31" s="21">
        <v>0.58666666666666734</v>
      </c>
      <c r="F31" s="28">
        <f>F21-F27-F29</f>
        <v>0</v>
      </c>
      <c r="G31" s="28">
        <f>G21-G27-G29</f>
        <v>-2350</v>
      </c>
      <c r="H31" s="28">
        <f>G31-F31</f>
        <v>-2350</v>
      </c>
      <c r="I31" s="1"/>
      <c r="J31" s="1"/>
      <c r="K31" s="26"/>
      <c r="L31" s="3" t="s">
        <v>17</v>
      </c>
      <c r="M31" s="3"/>
      <c r="N31" s="21">
        <v>2.7586666666666675</v>
      </c>
      <c r="O31" s="28">
        <f>O21-O27-O29</f>
        <v>25703.333333333336</v>
      </c>
      <c r="P31" s="28">
        <f>P21-P27-P29</f>
        <v>-23350</v>
      </c>
      <c r="Q31" s="28">
        <f>P31-O31</f>
        <v>-49053.333333333336</v>
      </c>
    </row>
    <row r="32" spans="3:17" ht="15.75" thickTop="1" x14ac:dyDescent="0.25"/>
  </sheetData>
  <mergeCells count="1"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STATIC BUDGET</vt:lpstr>
      <vt:lpstr>FLEXIBLE BUD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2014-03-07T01:43:01Z</dcterms:created>
  <dcterms:modified xsi:type="dcterms:W3CDTF">2014-03-08T17:53:31Z</dcterms:modified>
</cp:coreProperties>
</file>