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ssumptions" sheetId="1" r:id="rId1"/>
    <sheet name="Company financials" sheetId="2" r:id="rId2"/>
    <sheet name="Raw data" sheetId="3" r:id="rId3"/>
  </sheets>
  <calcPr calcId="145621"/>
</workbook>
</file>

<file path=xl/calcChain.xml><?xml version="1.0" encoding="utf-8"?>
<calcChain xmlns="http://schemas.openxmlformats.org/spreadsheetml/2006/main">
  <c r="K129" i="2" l="1"/>
  <c r="C129" i="2"/>
  <c r="L124" i="2"/>
  <c r="L122" i="2"/>
  <c r="C125" i="2"/>
  <c r="L125" i="2"/>
  <c r="K125" i="2"/>
  <c r="J125" i="2"/>
  <c r="I125" i="2"/>
  <c r="H125" i="2"/>
  <c r="G125" i="2"/>
  <c r="K124" i="2"/>
  <c r="J124" i="2"/>
  <c r="I124" i="2"/>
  <c r="H124" i="2"/>
  <c r="G124" i="2"/>
  <c r="L121" i="2"/>
  <c r="D122" i="2"/>
  <c r="C122" i="2"/>
  <c r="C117" i="2"/>
  <c r="K109" i="2"/>
  <c r="C107" i="2"/>
  <c r="F105" i="2"/>
  <c r="G103" i="2" s="1"/>
  <c r="C104" i="2"/>
  <c r="C97" i="2"/>
  <c r="F98" i="2"/>
  <c r="G95" i="2" s="1"/>
  <c r="C87" i="2"/>
  <c r="K87" i="2" s="1"/>
  <c r="F84" i="2"/>
  <c r="H84" i="2" s="1"/>
  <c r="H30" i="2" s="1"/>
  <c r="C82" i="2"/>
  <c r="I82" i="2" s="1"/>
  <c r="C79" i="2"/>
  <c r="H79" i="2" s="1"/>
  <c r="F86" i="2"/>
  <c r="F81" i="2"/>
  <c r="F78" i="2"/>
  <c r="E75" i="2"/>
  <c r="F64" i="2"/>
  <c r="F68" i="2"/>
  <c r="G66" i="2" s="1"/>
  <c r="F40" i="2"/>
  <c r="F43" i="2" s="1"/>
  <c r="F31" i="2"/>
  <c r="F34" i="2" s="1"/>
  <c r="E21" i="2"/>
  <c r="C21" i="2"/>
  <c r="C14" i="2"/>
  <c r="C9" i="2"/>
  <c r="C8" i="2"/>
  <c r="C7" i="2"/>
  <c r="K7" i="2" s="1"/>
  <c r="L4" i="2"/>
  <c r="F6" i="2"/>
  <c r="F8" i="2"/>
  <c r="F9" i="2"/>
  <c r="F10" i="2"/>
  <c r="F13" i="2" s="1"/>
  <c r="F5" i="2"/>
  <c r="F76" i="2" s="1"/>
  <c r="E6" i="2"/>
  <c r="E7" i="2" s="1"/>
  <c r="E8" i="2"/>
  <c r="E9" i="2"/>
  <c r="E10" i="2"/>
  <c r="E13" i="2" s="1"/>
  <c r="E5" i="2"/>
  <c r="E76" i="2" s="1"/>
  <c r="B10" i="2"/>
  <c r="B9" i="2"/>
  <c r="B8" i="2"/>
  <c r="B5" i="2"/>
  <c r="F9" i="3"/>
  <c r="E9" i="3"/>
  <c r="F6" i="3"/>
  <c r="E6" i="3"/>
  <c r="F4" i="2"/>
  <c r="F21" i="2" s="1"/>
  <c r="G107" i="2" l="1"/>
  <c r="G12" i="2" s="1"/>
  <c r="G104" i="2"/>
  <c r="G105" i="2" s="1"/>
  <c r="F89" i="2"/>
  <c r="H87" i="2"/>
  <c r="I84" i="2"/>
  <c r="I30" i="2" s="1"/>
  <c r="G97" i="2"/>
  <c r="G11" i="2" s="1"/>
  <c r="G50" i="2" s="1"/>
  <c r="C118" i="2"/>
  <c r="G84" i="2"/>
  <c r="G30" i="2" s="1"/>
  <c r="K84" i="2"/>
  <c r="K30" i="2" s="1"/>
  <c r="K38" i="2"/>
  <c r="J84" i="2"/>
  <c r="J30" i="2" s="1"/>
  <c r="F87" i="2"/>
  <c r="I87" i="2"/>
  <c r="J82" i="2"/>
  <c r="K82" i="2"/>
  <c r="H82" i="2"/>
  <c r="J87" i="2"/>
  <c r="G82" i="2"/>
  <c r="G87" i="2"/>
  <c r="I79" i="2"/>
  <c r="G79" i="2"/>
  <c r="K79" i="2"/>
  <c r="J79" i="2"/>
  <c r="F75" i="2"/>
  <c r="F79" i="2" s="1"/>
  <c r="F7" i="2"/>
  <c r="G4" i="2"/>
  <c r="G75" i="2" s="1"/>
  <c r="J7" i="2"/>
  <c r="H7" i="2"/>
  <c r="I7" i="2"/>
  <c r="F44" i="2"/>
  <c r="H21" i="2"/>
  <c r="G7" i="2"/>
  <c r="I21" i="2"/>
  <c r="J21" i="2"/>
  <c r="G21" i="2"/>
  <c r="K21" i="2"/>
  <c r="G59" i="2" l="1"/>
  <c r="G62" i="2" s="1"/>
  <c r="G118" i="2"/>
  <c r="H104" i="2"/>
  <c r="G109" i="2" s="1"/>
  <c r="F82" i="2"/>
  <c r="H103" i="2"/>
  <c r="G8" i="2"/>
  <c r="G9" i="2"/>
  <c r="G81" i="2"/>
  <c r="G29" i="2" s="1"/>
  <c r="G78" i="2"/>
  <c r="G20" i="2"/>
  <c r="G119" i="2" s="1"/>
  <c r="G6" i="2"/>
  <c r="G5" i="2" s="1"/>
  <c r="G76" i="2" s="1"/>
  <c r="G86" i="2" s="1"/>
  <c r="G39" i="2" s="1"/>
  <c r="H4" i="2"/>
  <c r="H75" i="2" s="1"/>
  <c r="H78" i="2" s="1"/>
  <c r="F14" i="2"/>
  <c r="F15" i="2" s="1"/>
  <c r="E14" i="2"/>
  <c r="E15" i="2" s="1"/>
  <c r="I104" i="2" l="1"/>
  <c r="H59" i="2"/>
  <c r="H62" i="2" s="1"/>
  <c r="G38" i="2"/>
  <c r="G40" i="2" s="1"/>
  <c r="G110" i="2"/>
  <c r="G41" i="2" s="1"/>
  <c r="H81" i="2"/>
  <c r="H29" i="2" s="1"/>
  <c r="H8" i="2"/>
  <c r="H107" i="2"/>
  <c r="H12" i="2" s="1"/>
  <c r="H105" i="2"/>
  <c r="I59" i="2"/>
  <c r="I62" i="2" s="1"/>
  <c r="H109" i="2"/>
  <c r="H38" i="2" s="1"/>
  <c r="J104" i="2"/>
  <c r="G55" i="2"/>
  <c r="G56" i="2" s="1"/>
  <c r="G96" i="2"/>
  <c r="G98" i="2" s="1"/>
  <c r="G89" i="2"/>
  <c r="G90" i="2" s="1"/>
  <c r="G28" i="2"/>
  <c r="H28" i="2"/>
  <c r="H6" i="2"/>
  <c r="H5" i="2" s="1"/>
  <c r="H9" i="2"/>
  <c r="H20" i="2"/>
  <c r="H119" i="2" s="1"/>
  <c r="I4" i="2"/>
  <c r="I75" i="2" s="1"/>
  <c r="G10" i="2"/>
  <c r="G116" i="2" s="1"/>
  <c r="G117" i="2" s="1"/>
  <c r="G51" i="2" l="1"/>
  <c r="G120" i="2"/>
  <c r="G121" i="2" s="1"/>
  <c r="G13" i="2"/>
  <c r="G14" i="2" s="1"/>
  <c r="G15" i="2" s="1"/>
  <c r="H95" i="2"/>
  <c r="H97" i="2" s="1"/>
  <c r="G32" i="2"/>
  <c r="I103" i="2"/>
  <c r="H110" i="2"/>
  <c r="H41" i="2" s="1"/>
  <c r="K104" i="2"/>
  <c r="J59" i="2"/>
  <c r="J62" i="2" s="1"/>
  <c r="I109" i="2"/>
  <c r="I38" i="2" s="1"/>
  <c r="H55" i="2"/>
  <c r="H56" i="2" s="1"/>
  <c r="H96" i="2"/>
  <c r="H98" i="2" s="1"/>
  <c r="I6" i="2"/>
  <c r="I5" i="2" s="1"/>
  <c r="I76" i="2" s="1"/>
  <c r="I86" i="2" s="1"/>
  <c r="I39" i="2" s="1"/>
  <c r="I78" i="2"/>
  <c r="I81" i="2"/>
  <c r="I29" i="2" s="1"/>
  <c r="I20" i="2"/>
  <c r="I119" i="2" s="1"/>
  <c r="J4" i="2"/>
  <c r="J75" i="2" s="1"/>
  <c r="H10" i="2"/>
  <c r="I8" i="2"/>
  <c r="H76" i="2"/>
  <c r="H86" i="2" s="1"/>
  <c r="H89" i="2" s="1"/>
  <c r="H90" i="2" s="1"/>
  <c r="I9" i="2"/>
  <c r="J9" i="2" l="1"/>
  <c r="H116" i="2"/>
  <c r="H117" i="2" s="1"/>
  <c r="I40" i="2"/>
  <c r="H51" i="2"/>
  <c r="H120" i="2"/>
  <c r="H11" i="2"/>
  <c r="H50" i="2" s="1"/>
  <c r="H118" i="2"/>
  <c r="I95" i="2"/>
  <c r="I97" i="2" s="1"/>
  <c r="H32" i="2"/>
  <c r="G42" i="2"/>
  <c r="G43" i="2" s="1"/>
  <c r="G49" i="2"/>
  <c r="G53" i="2" s="1"/>
  <c r="G64" i="2" s="1"/>
  <c r="G67" i="2" s="1"/>
  <c r="G68" i="2" s="1"/>
  <c r="G27" i="2" s="1"/>
  <c r="K4" i="2"/>
  <c r="K75" i="2" s="1"/>
  <c r="K78" i="2" s="1"/>
  <c r="K59" i="2"/>
  <c r="K62" i="2" s="1"/>
  <c r="J109" i="2"/>
  <c r="J38" i="2" s="1"/>
  <c r="I107" i="2"/>
  <c r="I12" i="2" s="1"/>
  <c r="I105" i="2"/>
  <c r="I96" i="2"/>
  <c r="I55" i="2"/>
  <c r="I56" i="2" s="1"/>
  <c r="I89" i="2"/>
  <c r="I90" i="2" s="1"/>
  <c r="J78" i="2"/>
  <c r="J81" i="2"/>
  <c r="J29" i="2" s="1"/>
  <c r="J8" i="2"/>
  <c r="H39" i="2"/>
  <c r="H40" i="2" s="1"/>
  <c r="I10" i="2"/>
  <c r="J6" i="2"/>
  <c r="J5" i="2" s="1"/>
  <c r="J20" i="2"/>
  <c r="J119" i="2" s="1"/>
  <c r="I28" i="2"/>
  <c r="K6" i="2" l="1"/>
  <c r="K5" i="2" s="1"/>
  <c r="K76" i="2" s="1"/>
  <c r="K86" i="2" s="1"/>
  <c r="K39" i="2" s="1"/>
  <c r="K40" i="2" s="1"/>
  <c r="I11" i="2"/>
  <c r="I50" i="2" s="1"/>
  <c r="I118" i="2"/>
  <c r="K9" i="2"/>
  <c r="K81" i="2"/>
  <c r="K29" i="2" s="1"/>
  <c r="I98" i="2"/>
  <c r="J95" i="2" s="1"/>
  <c r="J97" i="2" s="1"/>
  <c r="H121" i="2"/>
  <c r="I51" i="2"/>
  <c r="I120" i="2"/>
  <c r="K8" i="2"/>
  <c r="I116" i="2"/>
  <c r="I117" i="2" s="1"/>
  <c r="K20" i="2"/>
  <c r="K119" i="2" s="1"/>
  <c r="H13" i="2"/>
  <c r="H14" i="2" s="1"/>
  <c r="H15" i="2" s="1"/>
  <c r="J10" i="2"/>
  <c r="J116" i="2" s="1"/>
  <c r="J117" i="2" s="1"/>
  <c r="J103" i="2"/>
  <c r="I110" i="2"/>
  <c r="I41" i="2" s="1"/>
  <c r="G31" i="2"/>
  <c r="G34" i="2" s="1"/>
  <c r="G44" i="2" s="1"/>
  <c r="H66" i="2"/>
  <c r="J76" i="2"/>
  <c r="J86" i="2" s="1"/>
  <c r="J39" i="2" s="1"/>
  <c r="J40" i="2" s="1"/>
  <c r="K96" i="2"/>
  <c r="J55" i="2"/>
  <c r="J56" i="2" s="1"/>
  <c r="J96" i="2"/>
  <c r="K28" i="2"/>
  <c r="J28" i="2"/>
  <c r="K10" i="2" l="1"/>
  <c r="K116" i="2" s="1"/>
  <c r="K117" i="2" s="1"/>
  <c r="I32" i="2"/>
  <c r="I13" i="2"/>
  <c r="I14" i="2" s="1"/>
  <c r="I15" i="2" s="1"/>
  <c r="I49" i="2" s="1"/>
  <c r="I53" i="2" s="1"/>
  <c r="I64" i="2" s="1"/>
  <c r="I67" i="2" s="1"/>
  <c r="J98" i="2"/>
  <c r="K95" i="2" s="1"/>
  <c r="K97" i="2" s="1"/>
  <c r="K89" i="2"/>
  <c r="K55" i="2"/>
  <c r="K56" i="2" s="1"/>
  <c r="I121" i="2"/>
  <c r="J11" i="2"/>
  <c r="J50" i="2" s="1"/>
  <c r="J118" i="2"/>
  <c r="H49" i="2"/>
  <c r="H53" i="2" s="1"/>
  <c r="H64" i="2" s="1"/>
  <c r="H67" i="2" s="1"/>
  <c r="H68" i="2" s="1"/>
  <c r="H42" i="2"/>
  <c r="J107" i="2"/>
  <c r="J12" i="2" s="1"/>
  <c r="J13" i="2" s="1"/>
  <c r="J14" i="2" s="1"/>
  <c r="J15" i="2" s="1"/>
  <c r="J105" i="2"/>
  <c r="J89" i="2"/>
  <c r="J90" i="2" s="1"/>
  <c r="J32" i="2"/>
  <c r="K98" i="2" l="1"/>
  <c r="K32" i="2" s="1"/>
  <c r="I66" i="2"/>
  <c r="I68" i="2" s="1"/>
  <c r="J66" i="2" s="1"/>
  <c r="H27" i="2"/>
  <c r="H31" i="2" s="1"/>
  <c r="H34" i="2" s="1"/>
  <c r="I42" i="2"/>
  <c r="I43" i="2" s="1"/>
  <c r="H43" i="2"/>
  <c r="K90" i="2"/>
  <c r="K11" i="2"/>
  <c r="K50" i="2" s="1"/>
  <c r="K118" i="2"/>
  <c r="J51" i="2"/>
  <c r="J120" i="2"/>
  <c r="J121" i="2" s="1"/>
  <c r="J49" i="2"/>
  <c r="K103" i="2"/>
  <c r="J110" i="2"/>
  <c r="J41" i="2" s="1"/>
  <c r="I27" i="2"/>
  <c r="I31" i="2" s="1"/>
  <c r="I34" i="2" s="1"/>
  <c r="J42" i="2" l="1"/>
  <c r="I44" i="2"/>
  <c r="J53" i="2"/>
  <c r="J64" i="2" s="1"/>
  <c r="J67" i="2" s="1"/>
  <c r="J68" i="2" s="1"/>
  <c r="J27" i="2" s="1"/>
  <c r="J31" i="2" s="1"/>
  <c r="J34" i="2" s="1"/>
  <c r="H44" i="2"/>
  <c r="J43" i="2"/>
  <c r="K51" i="2"/>
  <c r="K120" i="2"/>
  <c r="K121" i="2" s="1"/>
  <c r="K107" i="2"/>
  <c r="K12" i="2" s="1"/>
  <c r="K13" i="2" s="1"/>
  <c r="K14" i="2" s="1"/>
  <c r="K15" i="2" s="1"/>
  <c r="K105" i="2"/>
  <c r="K110" i="2" s="1"/>
  <c r="K41" i="2" s="1"/>
  <c r="J44" i="2" l="1"/>
  <c r="K66" i="2"/>
  <c r="K49" i="2"/>
  <c r="K53" i="2" s="1"/>
  <c r="K64" i="2" s="1"/>
  <c r="K67" i="2" s="1"/>
  <c r="K42" i="2"/>
  <c r="K43" i="2" s="1"/>
  <c r="K68" i="2" l="1"/>
  <c r="K27" i="2" s="1"/>
  <c r="K31" i="2" s="1"/>
  <c r="K34" i="2" s="1"/>
  <c r="K44" i="2" s="1"/>
</calcChain>
</file>

<file path=xl/comments1.xml><?xml version="1.0" encoding="utf-8"?>
<comments xmlns="http://schemas.openxmlformats.org/spreadsheetml/2006/main">
  <authors>
    <author>Author</author>
  </authors>
  <commentList>
    <comment ref="B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alt + o + d
</t>
        </r>
      </text>
    </comment>
  </commentList>
</comments>
</file>

<file path=xl/sharedStrings.xml><?xml version="1.0" encoding="utf-8"?>
<sst xmlns="http://schemas.openxmlformats.org/spreadsheetml/2006/main" count="189" uniqueCount="105">
  <si>
    <t>Summary P&amp;L</t>
  </si>
  <si>
    <t>Sales</t>
  </si>
  <si>
    <t>2013A</t>
  </si>
  <si>
    <t>2014A</t>
  </si>
  <si>
    <t>2015E</t>
  </si>
  <si>
    <t>2016E</t>
  </si>
  <si>
    <t>2017E</t>
  </si>
  <si>
    <t>2018E</t>
  </si>
  <si>
    <t>2019E</t>
  </si>
  <si>
    <t>C$ - '1000</t>
  </si>
  <si>
    <t>A: Actual</t>
  </si>
  <si>
    <t>E: Expected</t>
  </si>
  <si>
    <t>COGS</t>
  </si>
  <si>
    <t>Gross Margin</t>
  </si>
  <si>
    <t>S&amp;M</t>
  </si>
  <si>
    <t>OPEX</t>
  </si>
  <si>
    <t>EBITDA</t>
  </si>
  <si>
    <t>D&amp;A</t>
  </si>
  <si>
    <t>Interest</t>
  </si>
  <si>
    <t>PBT</t>
  </si>
  <si>
    <t>Tax</t>
  </si>
  <si>
    <t>Net Income</t>
  </si>
  <si>
    <t>CAGR</t>
  </si>
  <si>
    <t>Gross Profit</t>
  </si>
  <si>
    <t>P&amp;L</t>
  </si>
  <si>
    <t>Sales CAGR</t>
  </si>
  <si>
    <t>S&amp;M as % of Sales</t>
  </si>
  <si>
    <t>Opex as % of Sales</t>
  </si>
  <si>
    <t>Profit before Tax</t>
  </si>
  <si>
    <t>Tax rate</t>
  </si>
  <si>
    <t>CAPEX</t>
  </si>
  <si>
    <t>Capex as % of Sales</t>
  </si>
  <si>
    <t>C$ - MM</t>
  </si>
  <si>
    <t>Capex</t>
  </si>
  <si>
    <t>Balance Sheet</t>
  </si>
  <si>
    <t>Cash</t>
  </si>
  <si>
    <t>Recievables</t>
  </si>
  <si>
    <t>Inventory</t>
  </si>
  <si>
    <t>prepaids</t>
  </si>
  <si>
    <t>Short term assets</t>
  </si>
  <si>
    <t>PP&amp;E</t>
  </si>
  <si>
    <t>Goodwill and intangibles</t>
  </si>
  <si>
    <t>Total Assets</t>
  </si>
  <si>
    <t>Assets</t>
  </si>
  <si>
    <t>Liabilities</t>
  </si>
  <si>
    <t>Revolver</t>
  </si>
  <si>
    <t>short term debt</t>
  </si>
  <si>
    <t>payables</t>
  </si>
  <si>
    <t>Short term Liabilities</t>
  </si>
  <si>
    <t>long term debt</t>
  </si>
  <si>
    <t>Equity</t>
  </si>
  <si>
    <t>Total Liabilities</t>
  </si>
  <si>
    <t>Prepaids</t>
  </si>
  <si>
    <t>Check</t>
  </si>
  <si>
    <t>Cash Flow Statement</t>
  </si>
  <si>
    <t>Non cash items</t>
  </si>
  <si>
    <t>Cash flow from operations</t>
  </si>
  <si>
    <t>Investments</t>
  </si>
  <si>
    <t>Cash from investments</t>
  </si>
  <si>
    <t>Debt issues</t>
  </si>
  <si>
    <t>Debt repaid</t>
  </si>
  <si>
    <t>Equity issued</t>
  </si>
  <si>
    <t>Cash flow from financing</t>
  </si>
  <si>
    <t>Dividend</t>
  </si>
  <si>
    <t>Total cash-flow</t>
  </si>
  <si>
    <t>Change</t>
  </si>
  <si>
    <t>EoP Cash</t>
  </si>
  <si>
    <t>BoP Cash</t>
  </si>
  <si>
    <t>Schedules</t>
  </si>
  <si>
    <t>Working Capital</t>
  </si>
  <si>
    <t>Receivables</t>
  </si>
  <si>
    <t>Receivable DSO</t>
  </si>
  <si>
    <t>Payables (Days of COGS)</t>
  </si>
  <si>
    <t>Inventory (DSO)</t>
  </si>
  <si>
    <t>DSO</t>
  </si>
  <si>
    <t>Days of COGS</t>
  </si>
  <si>
    <t>Change in WC</t>
  </si>
  <si>
    <t>PP&amp;E Schedule</t>
  </si>
  <si>
    <t>BoP PP&amp;E</t>
  </si>
  <si>
    <t>EoP PP&amp;E</t>
  </si>
  <si>
    <t>D&amp;A as a % of PP&amp;E</t>
  </si>
  <si>
    <t>Debt Schedule</t>
  </si>
  <si>
    <t>BoP Debt</t>
  </si>
  <si>
    <t>Capital repaid</t>
  </si>
  <si>
    <t>EoP Debt</t>
  </si>
  <si>
    <t>Short Term Portion</t>
  </si>
  <si>
    <t>Long Term Portion</t>
  </si>
  <si>
    <t>Debt</t>
  </si>
  <si>
    <t>Amortization (years)</t>
  </si>
  <si>
    <t>DCF</t>
  </si>
  <si>
    <t>Free cash flow</t>
  </si>
  <si>
    <t>EDITDA</t>
  </si>
  <si>
    <t>(1-t)*EBITDA</t>
  </si>
  <si>
    <t>t*D&amp;A</t>
  </si>
  <si>
    <t>DCF Assumptions</t>
  </si>
  <si>
    <t>WACC</t>
  </si>
  <si>
    <t>Terminal Growth Rate</t>
  </si>
  <si>
    <t xml:space="preserve">terminal </t>
  </si>
  <si>
    <t>wacc</t>
  </si>
  <si>
    <t>Terminal</t>
  </si>
  <si>
    <t>Dicsount Factor (year)</t>
  </si>
  <si>
    <t>Actualized FCF</t>
  </si>
  <si>
    <t>this is value at 2019</t>
  </si>
  <si>
    <t>this is value in 2014</t>
  </si>
  <si>
    <t>discount factor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</si>
</sst>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0.0"/>
    <numFmt numFmtId="168" formatCode="0.0;\(0.0\);\-"/>
    <numFmt numFmtId="171" formatCode="0.0%"/>
    <numFmt numFmtId="176" formatCode="0.00;\(0.00\);\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7" fontId="0" fillId="0" borderId="0" xfId="0" applyNumberFormat="1"/>
    <xf numFmtId="9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8" fontId="0" fillId="0" borderId="0" xfId="0" applyNumberFormat="1"/>
    <xf numFmtId="0" fontId="2" fillId="0" borderId="0" xfId="0" applyFont="1"/>
    <xf numFmtId="168" fontId="2" fillId="0" borderId="0" xfId="0" applyNumberFormat="1" applyFont="1"/>
    <xf numFmtId="0" fontId="0" fillId="0" borderId="4" xfId="0" applyBorder="1"/>
    <xf numFmtId="168" fontId="0" fillId="0" borderId="4" xfId="0" applyNumberFormat="1" applyBorder="1"/>
    <xf numFmtId="0" fontId="2" fillId="0" borderId="0" xfId="0" applyFont="1" applyFill="1" applyBorder="1"/>
    <xf numFmtId="9" fontId="3" fillId="0" borderId="0" xfId="0" applyNumberFormat="1" applyFont="1"/>
    <xf numFmtId="171" fontId="2" fillId="0" borderId="0" xfId="0" applyNumberFormat="1" applyFont="1"/>
    <xf numFmtId="9" fontId="4" fillId="0" borderId="0" xfId="0" applyNumberFormat="1" applyFont="1"/>
    <xf numFmtId="0" fontId="2" fillId="0" borderId="4" xfId="0" applyFont="1" applyFill="1" applyBorder="1"/>
    <xf numFmtId="171" fontId="4" fillId="0" borderId="0" xfId="0" applyNumberFormat="1" applyFont="1"/>
    <xf numFmtId="171" fontId="0" fillId="0" borderId="0" xfId="0" applyNumberFormat="1"/>
    <xf numFmtId="0" fontId="2" fillId="0" borderId="0" xfId="0" applyFont="1" applyBorder="1"/>
    <xf numFmtId="0" fontId="0" fillId="0" borderId="0" xfId="0" applyFont="1"/>
    <xf numFmtId="0" fontId="0" fillId="0" borderId="0" xfId="0" applyFill="1" applyBorder="1"/>
    <xf numFmtId="0" fontId="0" fillId="0" borderId="4" xfId="0" applyFill="1" applyBorder="1"/>
    <xf numFmtId="168" fontId="2" fillId="0" borderId="0" xfId="0" applyNumberFormat="1" applyFont="1" applyBorder="1"/>
    <xf numFmtId="0" fontId="0" fillId="0" borderId="4" xfId="0" applyFont="1" applyBorder="1"/>
    <xf numFmtId="0" fontId="0" fillId="0" borderId="5" xfId="0" applyBorder="1"/>
    <xf numFmtId="168" fontId="0" fillId="0" borderId="4" xfId="0" applyNumberFormat="1" applyFont="1" applyBorder="1"/>
    <xf numFmtId="168" fontId="0" fillId="0" borderId="5" xfId="0" applyNumberFormat="1" applyBorder="1"/>
    <xf numFmtId="0" fontId="1" fillId="2" borderId="4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3" fillId="0" borderId="0" xfId="0" applyFont="1"/>
    <xf numFmtId="0" fontId="4" fillId="0" borderId="0" xfId="0" applyFont="1"/>
    <xf numFmtId="9" fontId="3" fillId="0" borderId="4" xfId="0" applyNumberFormat="1" applyFont="1" applyBorder="1"/>
    <xf numFmtId="171" fontId="3" fillId="0" borderId="0" xfId="0" applyNumberFormat="1" applyFont="1"/>
    <xf numFmtId="176" fontId="0" fillId="0" borderId="0" xfId="0" applyNumberFormat="1"/>
    <xf numFmtId="168" fontId="2" fillId="0" borderId="6" xfId="0" applyNumberFormat="1" applyFont="1" applyBorder="1"/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H17"/>
  <sheetViews>
    <sheetView workbookViewId="0">
      <selection activeCell="F3" sqref="F3:F4"/>
    </sheetView>
  </sheetViews>
  <sheetFormatPr defaultRowHeight="15" x14ac:dyDescent="0.25"/>
  <cols>
    <col min="2" max="2" width="11.42578125" customWidth="1"/>
    <col min="3" max="3" width="15.42578125" customWidth="1"/>
    <col min="6" max="6" width="20" customWidth="1"/>
  </cols>
  <sheetData>
    <row r="2" spans="2:8" x14ac:dyDescent="0.25">
      <c r="B2" s="30" t="s">
        <v>24</v>
      </c>
      <c r="C2" s="31"/>
      <c r="D2" s="31"/>
      <c r="F2" s="30" t="s">
        <v>94</v>
      </c>
      <c r="G2" s="31"/>
      <c r="H2" s="31"/>
    </row>
    <row r="3" spans="2:8" x14ac:dyDescent="0.25">
      <c r="B3" s="7" t="s">
        <v>25</v>
      </c>
      <c r="D3" s="14">
        <v>0.15</v>
      </c>
      <c r="F3" s="7" t="s">
        <v>95</v>
      </c>
      <c r="H3" s="14">
        <v>0.11</v>
      </c>
    </row>
    <row r="4" spans="2:8" x14ac:dyDescent="0.25">
      <c r="B4" s="7" t="s">
        <v>13</v>
      </c>
      <c r="D4" s="14">
        <v>0.48</v>
      </c>
      <c r="F4" s="7" t="s">
        <v>96</v>
      </c>
      <c r="H4" s="14">
        <v>0.02</v>
      </c>
    </row>
    <row r="5" spans="2:8" x14ac:dyDescent="0.25">
      <c r="B5" s="7" t="s">
        <v>26</v>
      </c>
      <c r="D5" s="14">
        <v>0.2</v>
      </c>
    </row>
    <row r="6" spans="2:8" x14ac:dyDescent="0.25">
      <c r="B6" s="7" t="s">
        <v>27</v>
      </c>
      <c r="D6" s="14">
        <v>0.15</v>
      </c>
    </row>
    <row r="7" spans="2:8" x14ac:dyDescent="0.25">
      <c r="B7" s="7" t="s">
        <v>29</v>
      </c>
      <c r="D7" s="14">
        <v>0.28999999999999998</v>
      </c>
    </row>
    <row r="8" spans="2:8" x14ac:dyDescent="0.25">
      <c r="B8" s="30" t="s">
        <v>30</v>
      </c>
      <c r="C8" s="31"/>
      <c r="D8" s="31"/>
    </row>
    <row r="9" spans="2:8" x14ac:dyDescent="0.25">
      <c r="B9" s="7" t="s">
        <v>31</v>
      </c>
      <c r="D9" s="16">
        <v>3.5000000000000003E-2</v>
      </c>
    </row>
    <row r="10" spans="2:8" x14ac:dyDescent="0.25">
      <c r="B10" s="7" t="s">
        <v>80</v>
      </c>
      <c r="D10" s="16">
        <v>0.2</v>
      </c>
    </row>
    <row r="11" spans="2:8" x14ac:dyDescent="0.25">
      <c r="B11" s="30" t="s">
        <v>69</v>
      </c>
      <c r="C11" s="31"/>
      <c r="D11" s="31"/>
    </row>
    <row r="12" spans="2:8" x14ac:dyDescent="0.25">
      <c r="B12" s="7" t="s">
        <v>71</v>
      </c>
      <c r="D12" s="33">
        <v>30</v>
      </c>
    </row>
    <row r="13" spans="2:8" x14ac:dyDescent="0.25">
      <c r="B13" s="7" t="s">
        <v>73</v>
      </c>
      <c r="D13" s="33">
        <v>90</v>
      </c>
    </row>
    <row r="14" spans="2:8" x14ac:dyDescent="0.25">
      <c r="B14" s="7" t="s">
        <v>72</v>
      </c>
      <c r="D14" s="33">
        <v>60</v>
      </c>
    </row>
    <row r="15" spans="2:8" x14ac:dyDescent="0.25">
      <c r="B15" s="30" t="s">
        <v>87</v>
      </c>
      <c r="C15" s="31"/>
      <c r="D15" s="31"/>
    </row>
    <row r="16" spans="2:8" x14ac:dyDescent="0.25">
      <c r="B16" s="7" t="s">
        <v>88</v>
      </c>
      <c r="D16" s="14">
        <v>0.2</v>
      </c>
    </row>
    <row r="17" spans="2:4" x14ac:dyDescent="0.25">
      <c r="B17" s="7" t="s">
        <v>18</v>
      </c>
      <c r="D17" s="14">
        <v>0.04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2:O146"/>
  <sheetViews>
    <sheetView tabSelected="1" workbookViewId="0">
      <selection activeCell="K130" sqref="K130"/>
    </sheetView>
  </sheetViews>
  <sheetFormatPr defaultRowHeight="15" x14ac:dyDescent="0.25"/>
  <cols>
    <col min="2" max="2" width="24" customWidth="1"/>
    <col min="5" max="11" width="9.5703125" bestFit="1" customWidth="1"/>
  </cols>
  <sheetData>
    <row r="2" spans="2:1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5" x14ac:dyDescent="0.25">
      <c r="B3" s="3" t="s">
        <v>9</v>
      </c>
      <c r="C3" s="4"/>
      <c r="D3" s="4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5" t="s">
        <v>8</v>
      </c>
      <c r="L3" s="15" t="s">
        <v>22</v>
      </c>
      <c r="N3" t="s">
        <v>10</v>
      </c>
      <c r="O3" t="s">
        <v>11</v>
      </c>
    </row>
    <row r="4" spans="2:15" x14ac:dyDescent="0.25">
      <c r="B4" s="7" t="s">
        <v>1</v>
      </c>
      <c r="C4" s="7"/>
      <c r="D4" s="7"/>
      <c r="E4" s="8">
        <v>100</v>
      </c>
      <c r="F4" s="8">
        <f>E4*1.2</f>
        <v>120</v>
      </c>
      <c r="G4" s="8">
        <f>F4*(1+L4)</f>
        <v>138</v>
      </c>
      <c r="H4" s="8">
        <f>G4*(1+L4)</f>
        <v>158.69999999999999</v>
      </c>
      <c r="I4" s="8">
        <f>H4*(1+L4)</f>
        <v>182.50499999999997</v>
      </c>
      <c r="J4" s="8">
        <f>I4*(1+L4)</f>
        <v>209.88074999999995</v>
      </c>
      <c r="K4" s="8">
        <f>J4*(1+L4)</f>
        <v>241.36286249999992</v>
      </c>
      <c r="L4" s="12">
        <f>+Assumptions!D3</f>
        <v>0.15</v>
      </c>
    </row>
    <row r="5" spans="2:15" x14ac:dyDescent="0.25">
      <c r="B5" t="str">
        <f>+'Raw data'!C5</f>
        <v>COGS</v>
      </c>
      <c r="E5" s="6">
        <f>+'Raw data'!E5</f>
        <v>-50</v>
      </c>
      <c r="F5" s="6">
        <f>+'Raw data'!F5</f>
        <v>-65</v>
      </c>
      <c r="G5" s="6">
        <f>+G6-G4</f>
        <v>-71.760000000000005</v>
      </c>
      <c r="H5" s="6">
        <f t="shared" ref="H5:K5" si="0">+H6-H4</f>
        <v>-82.524000000000001</v>
      </c>
      <c r="I5" s="6">
        <f t="shared" si="0"/>
        <v>-94.902599999999993</v>
      </c>
      <c r="J5" s="6">
        <f t="shared" si="0"/>
        <v>-109.13798999999997</v>
      </c>
      <c r="K5" s="6">
        <f t="shared" si="0"/>
        <v>-125.50868849999996</v>
      </c>
    </row>
    <row r="6" spans="2:15" x14ac:dyDescent="0.25">
      <c r="B6" s="7" t="s">
        <v>23</v>
      </c>
      <c r="C6" s="7"/>
      <c r="D6" s="7"/>
      <c r="E6" s="8">
        <f>+'Raw data'!E6</f>
        <v>50</v>
      </c>
      <c r="F6" s="8">
        <f>+'Raw data'!F6</f>
        <v>55</v>
      </c>
      <c r="G6" s="8">
        <f>+G7*G4</f>
        <v>66.239999999999995</v>
      </c>
      <c r="H6" s="8">
        <f t="shared" ref="H6:K6" si="1">+H7*H4</f>
        <v>76.175999999999988</v>
      </c>
      <c r="I6" s="8">
        <f t="shared" si="1"/>
        <v>87.602399999999975</v>
      </c>
      <c r="J6" s="8">
        <f t="shared" si="1"/>
        <v>100.74275999999998</v>
      </c>
      <c r="K6" s="8">
        <f t="shared" si="1"/>
        <v>115.85417399999996</v>
      </c>
    </row>
    <row r="7" spans="2:15" x14ac:dyDescent="0.25">
      <c r="B7" s="7" t="s">
        <v>13</v>
      </c>
      <c r="C7" s="12">
        <f>+Assumptions!D4</f>
        <v>0.48</v>
      </c>
      <c r="D7" s="7"/>
      <c r="E7" s="13">
        <f>+E6/E4</f>
        <v>0.5</v>
      </c>
      <c r="F7" s="13">
        <f>+F6/F4</f>
        <v>0.45833333333333331</v>
      </c>
      <c r="G7" s="13">
        <f>+C7</f>
        <v>0.48</v>
      </c>
      <c r="H7" s="13">
        <f>C7</f>
        <v>0.48</v>
      </c>
      <c r="I7" s="13">
        <f>C7</f>
        <v>0.48</v>
      </c>
      <c r="J7" s="13">
        <f>C7</f>
        <v>0.48</v>
      </c>
      <c r="K7" s="13">
        <f>C7</f>
        <v>0.48</v>
      </c>
    </row>
    <row r="8" spans="2:15" x14ac:dyDescent="0.25">
      <c r="B8" t="str">
        <f>+'Raw data'!C7</f>
        <v>S&amp;M</v>
      </c>
      <c r="C8" s="12">
        <f>+Assumptions!D5</f>
        <v>0.2</v>
      </c>
      <c r="E8" s="6">
        <f>+'Raw data'!E7</f>
        <v>-20</v>
      </c>
      <c r="F8" s="6">
        <f>+'Raw data'!F7</f>
        <v>-22</v>
      </c>
      <c r="G8" s="6">
        <f>-C8*G4</f>
        <v>-27.6</v>
      </c>
      <c r="H8" s="6">
        <f>-C8*H4</f>
        <v>-31.74</v>
      </c>
      <c r="I8" s="6">
        <f>-C8*I4</f>
        <v>-36.500999999999998</v>
      </c>
      <c r="J8" s="6">
        <f>-C8*J4</f>
        <v>-41.97614999999999</v>
      </c>
      <c r="K8" s="6">
        <f>-C8*K4</f>
        <v>-48.272572499999988</v>
      </c>
    </row>
    <row r="9" spans="2:15" x14ac:dyDescent="0.25">
      <c r="B9" s="9" t="str">
        <f>+'Raw data'!C8</f>
        <v>OPEX</v>
      </c>
      <c r="C9" s="34">
        <f>+Assumptions!D6</f>
        <v>0.15</v>
      </c>
      <c r="D9" s="9"/>
      <c r="E9" s="10">
        <f>+'Raw data'!E8</f>
        <v>-20</v>
      </c>
      <c r="F9" s="10">
        <f>+'Raw data'!F8</f>
        <v>-21</v>
      </c>
      <c r="G9" s="10">
        <f>-G4*$C$9</f>
        <v>-20.7</v>
      </c>
      <c r="H9" s="10">
        <f t="shared" ref="H9:K9" si="2">-H4*$C$9</f>
        <v>-23.804999999999996</v>
      </c>
      <c r="I9" s="10">
        <f t="shared" si="2"/>
        <v>-27.375749999999993</v>
      </c>
      <c r="J9" s="10">
        <f t="shared" si="2"/>
        <v>-31.482112499999992</v>
      </c>
      <c r="K9" s="10">
        <f t="shared" si="2"/>
        <v>-36.204429374999989</v>
      </c>
    </row>
    <row r="10" spans="2:15" x14ac:dyDescent="0.25">
      <c r="B10" s="7" t="str">
        <f>+'Raw data'!C9</f>
        <v>EBITDA</v>
      </c>
      <c r="C10" s="7"/>
      <c r="D10" s="7"/>
      <c r="E10" s="8">
        <f>+'Raw data'!E9</f>
        <v>10</v>
      </c>
      <c r="F10" s="8">
        <f>+'Raw data'!F9</f>
        <v>12</v>
      </c>
      <c r="G10" s="8">
        <f>+G4+G5+G8+G9</f>
        <v>17.939999999999994</v>
      </c>
      <c r="H10" s="8">
        <f t="shared" ref="H10:K10" si="3">+H4+H5+H8+H9</f>
        <v>20.630999999999997</v>
      </c>
      <c r="I10" s="8">
        <f t="shared" si="3"/>
        <v>23.725649999999984</v>
      </c>
      <c r="J10" s="8">
        <f t="shared" si="3"/>
        <v>27.284497499999993</v>
      </c>
      <c r="K10" s="8">
        <f t="shared" si="3"/>
        <v>31.377172124999987</v>
      </c>
    </row>
    <row r="11" spans="2:15" x14ac:dyDescent="0.25">
      <c r="B11" t="s">
        <v>17</v>
      </c>
      <c r="E11" s="6"/>
      <c r="F11" s="6"/>
      <c r="G11" s="6">
        <f>G97</f>
        <v>-5</v>
      </c>
      <c r="H11" s="6">
        <f t="shared" ref="H11:K11" si="4">H97</f>
        <v>-4.9660000000000002</v>
      </c>
      <c r="I11" s="6">
        <f t="shared" si="4"/>
        <v>-5.0837000000000003</v>
      </c>
      <c r="J11" s="6">
        <f t="shared" si="4"/>
        <v>-5.3444949999999993</v>
      </c>
      <c r="K11" s="6">
        <f t="shared" si="4"/>
        <v>-5.7447612499999998</v>
      </c>
    </row>
    <row r="12" spans="2:15" x14ac:dyDescent="0.25">
      <c r="B12" s="9" t="s">
        <v>18</v>
      </c>
      <c r="C12" s="9"/>
      <c r="D12" s="9"/>
      <c r="E12" s="10"/>
      <c r="F12" s="10"/>
      <c r="G12" s="10">
        <f>-G107</f>
        <v>-1</v>
      </c>
      <c r="H12" s="10">
        <f t="shared" ref="H12:K12" si="5">-H107</f>
        <v>-0.8</v>
      </c>
      <c r="I12" s="10">
        <f t="shared" si="5"/>
        <v>-0.6</v>
      </c>
      <c r="J12" s="10">
        <f t="shared" si="5"/>
        <v>-0.4</v>
      </c>
      <c r="K12" s="10">
        <f t="shared" si="5"/>
        <v>-0.2</v>
      </c>
    </row>
    <row r="13" spans="2:15" x14ac:dyDescent="0.25">
      <c r="B13" t="s">
        <v>28</v>
      </c>
      <c r="E13" s="6">
        <f>+E10+E11+E12</f>
        <v>10</v>
      </c>
      <c r="F13" s="6">
        <f t="shared" ref="F13:K13" si="6">+F10+F11+F12</f>
        <v>12</v>
      </c>
      <c r="G13" s="6">
        <f>+G10+G11+G12</f>
        <v>11.939999999999994</v>
      </c>
      <c r="H13" s="6">
        <f t="shared" si="6"/>
        <v>14.864999999999995</v>
      </c>
      <c r="I13" s="6">
        <f t="shared" si="6"/>
        <v>18.041949999999982</v>
      </c>
      <c r="J13" s="6">
        <f t="shared" si="6"/>
        <v>21.540002499999996</v>
      </c>
      <c r="K13" s="6">
        <f t="shared" si="6"/>
        <v>25.432410874999988</v>
      </c>
    </row>
    <row r="14" spans="2:15" x14ac:dyDescent="0.25">
      <c r="B14" s="9" t="s">
        <v>20</v>
      </c>
      <c r="C14" s="34">
        <f>+Assumptions!D7</f>
        <v>0.28999999999999998</v>
      </c>
      <c r="D14" s="9"/>
      <c r="E14" s="10">
        <f>-E13*$C$14</f>
        <v>-2.9</v>
      </c>
      <c r="F14" s="10">
        <f t="shared" ref="F14:K14" si="7">-F13*$C$14</f>
        <v>-3.4799999999999995</v>
      </c>
      <c r="G14" s="10">
        <f t="shared" si="7"/>
        <v>-3.4625999999999979</v>
      </c>
      <c r="H14" s="10">
        <f t="shared" si="7"/>
        <v>-4.3108499999999985</v>
      </c>
      <c r="I14" s="10">
        <f t="shared" si="7"/>
        <v>-5.2321654999999945</v>
      </c>
      <c r="J14" s="10">
        <f t="shared" si="7"/>
        <v>-6.2466007249999986</v>
      </c>
      <c r="K14" s="10">
        <f t="shared" si="7"/>
        <v>-7.3753991537499957</v>
      </c>
    </row>
    <row r="15" spans="2:15" x14ac:dyDescent="0.25">
      <c r="B15" s="7" t="s">
        <v>21</v>
      </c>
      <c r="E15" s="8">
        <f>+E13+E14</f>
        <v>7.1</v>
      </c>
      <c r="F15" s="8">
        <f t="shared" ref="F15:K15" si="8">+F13+F14</f>
        <v>8.52</v>
      </c>
      <c r="G15" s="8">
        <f t="shared" si="8"/>
        <v>8.4773999999999958</v>
      </c>
      <c r="H15" s="8">
        <f t="shared" si="8"/>
        <v>10.554149999999996</v>
      </c>
      <c r="I15" s="8">
        <f t="shared" si="8"/>
        <v>12.809784499999989</v>
      </c>
      <c r="J15" s="8">
        <f t="shared" si="8"/>
        <v>15.293401774999998</v>
      </c>
      <c r="K15" s="8">
        <f t="shared" si="8"/>
        <v>18.057011721249992</v>
      </c>
    </row>
    <row r="18" spans="2:11" x14ac:dyDescent="0.25">
      <c r="B18" s="28" t="s">
        <v>30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x14ac:dyDescent="0.25">
      <c r="B19" s="3" t="s">
        <v>32</v>
      </c>
      <c r="C19" s="4"/>
      <c r="D19" s="4"/>
      <c r="E19" s="4" t="s">
        <v>2</v>
      </c>
      <c r="F19" s="4" t="s">
        <v>3</v>
      </c>
      <c r="G19" s="4" t="s">
        <v>4</v>
      </c>
      <c r="H19" s="4" t="s">
        <v>5</v>
      </c>
      <c r="I19" s="4" t="s">
        <v>6</v>
      </c>
      <c r="J19" s="4" t="s">
        <v>7</v>
      </c>
      <c r="K19" s="5" t="s">
        <v>8</v>
      </c>
    </row>
    <row r="20" spans="2:11" x14ac:dyDescent="0.25">
      <c r="B20" s="7" t="s">
        <v>33</v>
      </c>
      <c r="E20" s="6">
        <v>-3</v>
      </c>
      <c r="F20" s="6">
        <v>-4</v>
      </c>
      <c r="G20" s="6">
        <f>-G4*G21</f>
        <v>-4.83</v>
      </c>
      <c r="H20" s="6">
        <f t="shared" ref="H20:K20" si="9">-H4*H21</f>
        <v>-5.5545</v>
      </c>
      <c r="I20" s="6">
        <f t="shared" si="9"/>
        <v>-6.3876749999999998</v>
      </c>
      <c r="J20" s="6">
        <f t="shared" si="9"/>
        <v>-7.3458262499999991</v>
      </c>
      <c r="K20" s="6">
        <f t="shared" si="9"/>
        <v>-8.4477001874999988</v>
      </c>
    </row>
    <row r="21" spans="2:11" x14ac:dyDescent="0.25">
      <c r="B21" t="s">
        <v>31</v>
      </c>
      <c r="C21" s="35">
        <f>+Assumptions!D9</f>
        <v>3.5000000000000003E-2</v>
      </c>
      <c r="E21" s="17">
        <f>-E20/E4</f>
        <v>0.03</v>
      </c>
      <c r="F21" s="17">
        <f>-F20/F4</f>
        <v>3.3333333333333333E-2</v>
      </c>
      <c r="G21" s="17">
        <f>$C$21</f>
        <v>3.5000000000000003E-2</v>
      </c>
      <c r="H21" s="17">
        <f t="shared" ref="H21:K21" si="10">$C$21</f>
        <v>3.5000000000000003E-2</v>
      </c>
      <c r="I21" s="17">
        <f t="shared" si="10"/>
        <v>3.5000000000000003E-2</v>
      </c>
      <c r="J21" s="17">
        <f t="shared" si="10"/>
        <v>3.5000000000000003E-2</v>
      </c>
      <c r="K21" s="17">
        <f t="shared" si="10"/>
        <v>3.5000000000000003E-2</v>
      </c>
    </row>
    <row r="22" spans="2:11" x14ac:dyDescent="0.25">
      <c r="E22" s="6"/>
      <c r="F22" s="6"/>
      <c r="G22" s="6"/>
      <c r="H22" s="6"/>
      <c r="I22" s="6"/>
      <c r="J22" s="6"/>
      <c r="K22" s="6"/>
    </row>
    <row r="23" spans="2:11" x14ac:dyDescent="0.25">
      <c r="E23" s="6"/>
      <c r="F23" s="6"/>
      <c r="G23" s="6"/>
      <c r="H23" s="6"/>
      <c r="I23" s="6"/>
      <c r="J23" s="6"/>
      <c r="K23" s="6"/>
    </row>
    <row r="24" spans="2:11" x14ac:dyDescent="0.25">
      <c r="B24" s="28" t="s">
        <v>34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x14ac:dyDescent="0.25">
      <c r="B25" s="3" t="s">
        <v>32</v>
      </c>
      <c r="C25" s="4"/>
      <c r="D25" s="4"/>
      <c r="E25" s="4" t="s">
        <v>2</v>
      </c>
      <c r="F25" s="4" t="s">
        <v>3</v>
      </c>
      <c r="G25" s="4" t="s">
        <v>4</v>
      </c>
      <c r="H25" s="4" t="s">
        <v>5</v>
      </c>
      <c r="I25" s="4" t="s">
        <v>6</v>
      </c>
      <c r="J25" s="4" t="s">
        <v>7</v>
      </c>
      <c r="K25" s="5" t="s">
        <v>8</v>
      </c>
    </row>
    <row r="26" spans="2:11" x14ac:dyDescent="0.25">
      <c r="B26" s="18" t="s">
        <v>43</v>
      </c>
      <c r="C26" s="18"/>
      <c r="D26" s="18"/>
      <c r="E26" s="22"/>
      <c r="F26" s="22"/>
      <c r="G26" s="22"/>
      <c r="H26" s="22"/>
      <c r="I26" s="22"/>
      <c r="J26" s="22"/>
      <c r="K26" s="22"/>
    </row>
    <row r="27" spans="2:11" x14ac:dyDescent="0.25">
      <c r="B27" s="19" t="s">
        <v>35</v>
      </c>
      <c r="F27" s="6">
        <v>20</v>
      </c>
      <c r="G27" s="6">
        <f>G68</f>
        <v>20.073701369863016</v>
      </c>
      <c r="H27" s="6">
        <f t="shared" ref="H27:K27" si="11">H68</f>
        <v>20.003296575342461</v>
      </c>
      <c r="I27" s="6">
        <f t="shared" si="11"/>
        <v>20.717643061643841</v>
      </c>
      <c r="J27" s="6">
        <f t="shared" si="11"/>
        <v>22.349531120890404</v>
      </c>
      <c r="K27" s="6">
        <f t="shared" si="11"/>
        <v>25.044394069023973</v>
      </c>
    </row>
    <row r="28" spans="2:11" x14ac:dyDescent="0.25">
      <c r="B28" t="s">
        <v>36</v>
      </c>
      <c r="C28" s="17"/>
      <c r="F28" s="6">
        <v>10</v>
      </c>
      <c r="G28" s="6">
        <f>G78</f>
        <v>11.342465753424657</v>
      </c>
      <c r="H28" s="6">
        <f t="shared" ref="H28:K28" si="12">H78</f>
        <v>13.043835616438356</v>
      </c>
      <c r="I28" s="6">
        <f t="shared" si="12"/>
        <v>15.000410958904107</v>
      </c>
      <c r="J28" s="6">
        <f t="shared" si="12"/>
        <v>17.250472602739723</v>
      </c>
      <c r="K28" s="6">
        <f t="shared" si="12"/>
        <v>19.838043493150678</v>
      </c>
    </row>
    <row r="29" spans="2:11" x14ac:dyDescent="0.25">
      <c r="B29" t="s">
        <v>37</v>
      </c>
      <c r="F29" s="6">
        <v>30</v>
      </c>
      <c r="G29" s="6">
        <f>G81</f>
        <v>34.027397260273972</v>
      </c>
      <c r="H29" s="6">
        <f t="shared" ref="H29:K29" si="13">H81</f>
        <v>39.131506849315066</v>
      </c>
      <c r="I29" s="6">
        <f t="shared" si="13"/>
        <v>45.001232876712322</v>
      </c>
      <c r="J29" s="6">
        <f t="shared" si="13"/>
        <v>51.751417808219166</v>
      </c>
      <c r="K29" s="6">
        <f t="shared" si="13"/>
        <v>59.514130479452035</v>
      </c>
    </row>
    <row r="30" spans="2:11" x14ac:dyDescent="0.25">
      <c r="B30" s="9" t="s">
        <v>52</v>
      </c>
      <c r="C30" s="9"/>
      <c r="D30" s="9"/>
      <c r="E30" s="9"/>
      <c r="F30" s="10">
        <v>5</v>
      </c>
      <c r="G30" s="10">
        <f>G84</f>
        <v>5</v>
      </c>
      <c r="H30" s="10">
        <f t="shared" ref="H30:K30" si="14">H84</f>
        <v>5</v>
      </c>
      <c r="I30" s="10">
        <f t="shared" si="14"/>
        <v>5</v>
      </c>
      <c r="J30" s="10">
        <f t="shared" si="14"/>
        <v>5</v>
      </c>
      <c r="K30" s="10">
        <f t="shared" si="14"/>
        <v>5</v>
      </c>
    </row>
    <row r="31" spans="2:11" x14ac:dyDescent="0.25">
      <c r="B31" s="7" t="s">
        <v>39</v>
      </c>
      <c r="C31" s="7"/>
      <c r="D31" s="7"/>
      <c r="F31" s="8">
        <f>+F27+F28+F29+F30</f>
        <v>65</v>
      </c>
      <c r="G31" s="8">
        <f t="shared" ref="G31:K31" si="15">+G27+G28+G29+G30</f>
        <v>70.443564383561636</v>
      </c>
      <c r="H31" s="8">
        <f t="shared" si="15"/>
        <v>77.178639041095892</v>
      </c>
      <c r="I31" s="8">
        <f t="shared" si="15"/>
        <v>85.719286897260275</v>
      </c>
      <c r="J31" s="8">
        <f t="shared" si="15"/>
        <v>96.351421531849297</v>
      </c>
      <c r="K31" s="8">
        <f t="shared" si="15"/>
        <v>109.39656804162669</v>
      </c>
    </row>
    <row r="32" spans="2:11" x14ac:dyDescent="0.25">
      <c r="B32" t="s">
        <v>40</v>
      </c>
      <c r="F32" s="6">
        <v>25</v>
      </c>
      <c r="G32" s="6">
        <f>G98</f>
        <v>24.83</v>
      </c>
      <c r="H32" s="6">
        <f t="shared" ref="H32:K32" si="16">H98</f>
        <v>25.418499999999998</v>
      </c>
      <c r="I32" s="6">
        <f t="shared" si="16"/>
        <v>26.722474999999996</v>
      </c>
      <c r="J32" s="6">
        <f t="shared" si="16"/>
        <v>28.723806249999999</v>
      </c>
      <c r="K32" s="6">
        <f t="shared" si="16"/>
        <v>31.4267451875</v>
      </c>
    </row>
    <row r="33" spans="2:11" x14ac:dyDescent="0.25">
      <c r="B33" s="9" t="s">
        <v>41</v>
      </c>
      <c r="C33" s="9"/>
      <c r="D33" s="9"/>
      <c r="E33" s="9"/>
      <c r="F33" s="10">
        <v>0</v>
      </c>
      <c r="G33" s="10"/>
      <c r="H33" s="10"/>
      <c r="I33" s="10"/>
      <c r="J33" s="10"/>
      <c r="K33" s="10"/>
    </row>
    <row r="34" spans="2:11" x14ac:dyDescent="0.25">
      <c r="B34" s="7" t="s">
        <v>42</v>
      </c>
      <c r="C34" s="7"/>
      <c r="D34" s="7"/>
      <c r="F34" s="8">
        <f>+F31+F32+F33</f>
        <v>90</v>
      </c>
      <c r="G34" s="8">
        <f t="shared" ref="G34:K34" si="17">+G31+G32+G33</f>
        <v>95.273564383561634</v>
      </c>
      <c r="H34" s="8">
        <f t="shared" si="17"/>
        <v>102.59713904109589</v>
      </c>
      <c r="I34" s="8">
        <f t="shared" si="17"/>
        <v>112.44176189726028</v>
      </c>
      <c r="J34" s="8">
        <f t="shared" si="17"/>
        <v>125.07522778184929</v>
      </c>
      <c r="K34" s="8">
        <f t="shared" si="17"/>
        <v>140.82331322912668</v>
      </c>
    </row>
    <row r="35" spans="2:11" x14ac:dyDescent="0.25">
      <c r="E35" s="6"/>
      <c r="F35" s="6"/>
      <c r="G35" s="6"/>
      <c r="H35" s="6"/>
      <c r="I35" s="6"/>
      <c r="J35" s="6"/>
      <c r="K35" s="6"/>
    </row>
    <row r="36" spans="2:11" x14ac:dyDescent="0.25">
      <c r="B36" s="7" t="s">
        <v>44</v>
      </c>
      <c r="E36" s="6"/>
      <c r="F36" s="6"/>
      <c r="G36" s="6"/>
      <c r="H36" s="6"/>
      <c r="I36" s="6"/>
      <c r="J36" s="6"/>
      <c r="K36" s="6"/>
    </row>
    <row r="37" spans="2:11" x14ac:dyDescent="0.25">
      <c r="B37" t="s">
        <v>45</v>
      </c>
      <c r="F37" s="6">
        <v>0</v>
      </c>
      <c r="G37" s="6"/>
      <c r="H37" s="6"/>
      <c r="I37" s="6"/>
      <c r="J37" s="6"/>
      <c r="K37" s="6"/>
    </row>
    <row r="38" spans="2:11" x14ac:dyDescent="0.25">
      <c r="B38" s="19" t="s">
        <v>46</v>
      </c>
      <c r="F38" s="6">
        <v>5</v>
      </c>
      <c r="G38" s="6">
        <f>G109</f>
        <v>5</v>
      </c>
      <c r="H38" s="6">
        <f t="shared" ref="H38:K38" si="18">H109</f>
        <v>5</v>
      </c>
      <c r="I38" s="6">
        <f t="shared" si="18"/>
        <v>5</v>
      </c>
      <c r="J38" s="6">
        <f t="shared" si="18"/>
        <v>5</v>
      </c>
      <c r="K38" s="6">
        <f t="shared" si="18"/>
        <v>0</v>
      </c>
    </row>
    <row r="39" spans="2:11" x14ac:dyDescent="0.25">
      <c r="B39" s="9" t="s">
        <v>47</v>
      </c>
      <c r="C39" s="9"/>
      <c r="D39" s="9"/>
      <c r="E39" s="9"/>
      <c r="F39" s="10">
        <v>10</v>
      </c>
      <c r="G39" s="10">
        <f>G86</f>
        <v>11.796164383561646</v>
      </c>
      <c r="H39" s="10">
        <f t="shared" ref="H39:K39" si="19">H86</f>
        <v>13.565589041095892</v>
      </c>
      <c r="I39" s="10">
        <f t="shared" si="19"/>
        <v>15.600427397260274</v>
      </c>
      <c r="J39" s="10">
        <f t="shared" si="19"/>
        <v>17.940491506849312</v>
      </c>
      <c r="K39" s="10">
        <f t="shared" si="19"/>
        <v>20.631565232876707</v>
      </c>
    </row>
    <row r="40" spans="2:11" x14ac:dyDescent="0.25">
      <c r="B40" s="7" t="s">
        <v>48</v>
      </c>
      <c r="C40" s="7"/>
      <c r="D40" s="7"/>
      <c r="E40" s="7"/>
      <c r="F40" s="8">
        <f>+F37+F38+F39</f>
        <v>15</v>
      </c>
      <c r="G40" s="8">
        <f t="shared" ref="G40:K40" si="20">+G37+G38+G39</f>
        <v>16.796164383561646</v>
      </c>
      <c r="H40" s="8">
        <f t="shared" si="20"/>
        <v>18.56558904109589</v>
      </c>
      <c r="I40" s="8">
        <f t="shared" si="20"/>
        <v>20.600427397260276</v>
      </c>
      <c r="J40" s="8">
        <f t="shared" si="20"/>
        <v>22.940491506849312</v>
      </c>
      <c r="K40" s="8">
        <f t="shared" si="20"/>
        <v>20.631565232876707</v>
      </c>
    </row>
    <row r="41" spans="2:11" x14ac:dyDescent="0.25">
      <c r="B41" s="20" t="s">
        <v>49</v>
      </c>
      <c r="F41" s="6">
        <v>20</v>
      </c>
      <c r="G41" s="6">
        <f>G110</f>
        <v>15</v>
      </c>
      <c r="H41" s="6">
        <f t="shared" ref="H41:K41" si="21">H110</f>
        <v>10</v>
      </c>
      <c r="I41" s="6">
        <f t="shared" si="21"/>
        <v>5</v>
      </c>
      <c r="J41" s="6">
        <f t="shared" si="21"/>
        <v>0</v>
      </c>
      <c r="K41" s="6">
        <f t="shared" si="21"/>
        <v>0</v>
      </c>
    </row>
    <row r="42" spans="2:11" x14ac:dyDescent="0.25">
      <c r="B42" s="21" t="s">
        <v>50</v>
      </c>
      <c r="C42" s="9"/>
      <c r="D42" s="9"/>
      <c r="E42" s="9"/>
      <c r="F42" s="10">
        <v>55</v>
      </c>
      <c r="G42" s="10">
        <f>+F42+G60+G61+G15</f>
        <v>63.477399999999996</v>
      </c>
      <c r="H42" s="10">
        <f t="shared" ref="H42:K42" si="22">+G42+G60+G61+H15</f>
        <v>74.031549999999996</v>
      </c>
      <c r="I42" s="10">
        <f t="shared" si="22"/>
        <v>86.841334499999988</v>
      </c>
      <c r="J42" s="10">
        <f t="shared" si="22"/>
        <v>102.13473627499998</v>
      </c>
      <c r="K42" s="10">
        <f t="shared" si="22"/>
        <v>120.19174799624997</v>
      </c>
    </row>
    <row r="43" spans="2:11" x14ac:dyDescent="0.25">
      <c r="B43" s="11" t="s">
        <v>51</v>
      </c>
      <c r="C43" s="7"/>
      <c r="D43" s="7"/>
      <c r="F43" s="8">
        <f>+F40+F41+F42</f>
        <v>90</v>
      </c>
      <c r="G43" s="8">
        <f t="shared" ref="G43:K43" si="23">+G40+G41+G42</f>
        <v>95.273564383561649</v>
      </c>
      <c r="H43" s="8">
        <f t="shared" si="23"/>
        <v>102.59713904109589</v>
      </c>
      <c r="I43" s="8">
        <f t="shared" si="23"/>
        <v>112.44176189726026</v>
      </c>
      <c r="J43" s="8">
        <f t="shared" si="23"/>
        <v>125.07522778184929</v>
      </c>
      <c r="K43" s="8">
        <f t="shared" si="23"/>
        <v>140.82331322912668</v>
      </c>
    </row>
    <row r="44" spans="2:11" x14ac:dyDescent="0.25">
      <c r="B44" s="20" t="s">
        <v>53</v>
      </c>
      <c r="F44" s="1">
        <f>F43-F34</f>
        <v>0</v>
      </c>
      <c r="G44" s="1">
        <f t="shared" ref="F44:K44" si="24">G43-G34</f>
        <v>0</v>
      </c>
      <c r="H44" s="1">
        <f t="shared" si="24"/>
        <v>0</v>
      </c>
      <c r="I44" s="1">
        <f t="shared" si="24"/>
        <v>0</v>
      </c>
      <c r="J44" s="1">
        <f t="shared" si="24"/>
        <v>0</v>
      </c>
      <c r="K44" s="1">
        <f t="shared" si="24"/>
        <v>0</v>
      </c>
    </row>
    <row r="47" spans="2:11" x14ac:dyDescent="0.25">
      <c r="B47" s="28" t="s">
        <v>54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2:11" x14ac:dyDescent="0.25">
      <c r="B48" s="3" t="s">
        <v>32</v>
      </c>
      <c r="C48" s="4"/>
      <c r="D48" s="4"/>
      <c r="E48" s="4" t="s">
        <v>2</v>
      </c>
      <c r="F48" s="4" t="s">
        <v>3</v>
      </c>
      <c r="G48" s="4" t="s">
        <v>4</v>
      </c>
      <c r="H48" s="4" t="s">
        <v>5</v>
      </c>
      <c r="I48" s="4" t="s">
        <v>6</v>
      </c>
      <c r="J48" s="4" t="s">
        <v>7</v>
      </c>
      <c r="K48" s="5" t="s">
        <v>8</v>
      </c>
    </row>
    <row r="49" spans="2:11" x14ac:dyDescent="0.25">
      <c r="B49" t="s">
        <v>21</v>
      </c>
      <c r="F49" s="6"/>
      <c r="G49" s="6">
        <f t="shared" ref="G49:K49" si="25">G15</f>
        <v>8.4773999999999958</v>
      </c>
      <c r="H49" s="6">
        <f t="shared" si="25"/>
        <v>10.554149999999996</v>
      </c>
      <c r="I49" s="6">
        <f t="shared" si="25"/>
        <v>12.809784499999989</v>
      </c>
      <c r="J49" s="6">
        <f t="shared" si="25"/>
        <v>15.293401774999998</v>
      </c>
      <c r="K49" s="6">
        <f t="shared" si="25"/>
        <v>18.057011721249992</v>
      </c>
    </row>
    <row r="50" spans="2:11" x14ac:dyDescent="0.25">
      <c r="B50" t="s">
        <v>17</v>
      </c>
      <c r="F50" s="6"/>
      <c r="G50" s="6">
        <f>-G11</f>
        <v>5</v>
      </c>
      <c r="H50" s="6">
        <f t="shared" ref="H50:K50" si="26">-H11</f>
        <v>4.9660000000000002</v>
      </c>
      <c r="I50" s="6">
        <f t="shared" si="26"/>
        <v>5.0837000000000003</v>
      </c>
      <c r="J50" s="6">
        <f t="shared" si="26"/>
        <v>5.3444949999999993</v>
      </c>
      <c r="K50" s="6">
        <f t="shared" si="26"/>
        <v>5.7447612499999998</v>
      </c>
    </row>
    <row r="51" spans="2:11" x14ac:dyDescent="0.25">
      <c r="B51" t="s">
        <v>76</v>
      </c>
      <c r="F51" s="6"/>
      <c r="G51" s="6">
        <f>-G90</f>
        <v>-3.5736986301369811</v>
      </c>
      <c r="H51" s="6">
        <f t="shared" ref="H51:K51" si="27">-H90</f>
        <v>-5.0360547945205525</v>
      </c>
      <c r="I51" s="6">
        <f t="shared" si="27"/>
        <v>-5.7914630136986105</v>
      </c>
      <c r="J51" s="6">
        <f t="shared" si="27"/>
        <v>-6.6601824657534365</v>
      </c>
      <c r="K51" s="6">
        <f t="shared" si="27"/>
        <v>-7.6592098356164229</v>
      </c>
    </row>
    <row r="52" spans="2:11" x14ac:dyDescent="0.25">
      <c r="B52" s="23" t="s">
        <v>55</v>
      </c>
      <c r="C52" s="23"/>
      <c r="D52" s="23"/>
      <c r="E52" s="23"/>
      <c r="F52" s="25"/>
      <c r="G52" s="25"/>
      <c r="H52" s="25"/>
      <c r="I52" s="25"/>
      <c r="J52" s="25"/>
      <c r="K52" s="25"/>
    </row>
    <row r="53" spans="2:11" x14ac:dyDescent="0.25">
      <c r="B53" s="7" t="s">
        <v>56</v>
      </c>
      <c r="C53" s="7"/>
      <c r="D53" s="7"/>
      <c r="E53" s="7"/>
      <c r="F53" s="8"/>
      <c r="G53" s="8">
        <f>G49+G50+G51+G52</f>
        <v>9.9037013698630147</v>
      </c>
      <c r="H53" s="8">
        <f t="shared" ref="H53:K53" si="28">H49+H50+H51+H52</f>
        <v>10.484095205479445</v>
      </c>
      <c r="I53" s="8">
        <f t="shared" si="28"/>
        <v>12.102021486301378</v>
      </c>
      <c r="J53" s="8">
        <f t="shared" si="28"/>
        <v>13.977714309246561</v>
      </c>
      <c r="K53" s="8">
        <f t="shared" si="28"/>
        <v>16.142563135633569</v>
      </c>
    </row>
    <row r="54" spans="2:11" x14ac:dyDescent="0.25">
      <c r="F54" s="6"/>
      <c r="G54" s="6"/>
      <c r="H54" s="6"/>
      <c r="I54" s="6"/>
      <c r="J54" s="6"/>
      <c r="K54" s="6"/>
    </row>
    <row r="55" spans="2:11" x14ac:dyDescent="0.25">
      <c r="B55" s="23" t="s">
        <v>57</v>
      </c>
      <c r="C55" s="23"/>
      <c r="D55" s="23"/>
      <c r="E55" s="23"/>
      <c r="F55" s="25"/>
      <c r="G55" s="25">
        <f>G20</f>
        <v>-4.83</v>
      </c>
      <c r="H55" s="25">
        <f t="shared" ref="H55:K55" si="29">H20</f>
        <v>-5.5545</v>
      </c>
      <c r="I55" s="25">
        <f t="shared" si="29"/>
        <v>-6.3876749999999998</v>
      </c>
      <c r="J55" s="25">
        <f t="shared" si="29"/>
        <v>-7.3458262499999991</v>
      </c>
      <c r="K55" s="25">
        <f t="shared" si="29"/>
        <v>-8.4477001874999988</v>
      </c>
    </row>
    <row r="56" spans="2:11" x14ac:dyDescent="0.25">
      <c r="B56" s="7" t="s">
        <v>58</v>
      </c>
      <c r="C56" s="7"/>
      <c r="D56" s="7"/>
      <c r="E56" s="7"/>
      <c r="F56" s="8"/>
      <c r="G56" s="8">
        <f>G55</f>
        <v>-4.83</v>
      </c>
      <c r="H56" s="8">
        <f t="shared" ref="H56:K56" si="30">H55</f>
        <v>-5.5545</v>
      </c>
      <c r="I56" s="8">
        <f t="shared" si="30"/>
        <v>-6.3876749999999998</v>
      </c>
      <c r="J56" s="8">
        <f t="shared" si="30"/>
        <v>-7.3458262499999991</v>
      </c>
      <c r="K56" s="8">
        <f t="shared" si="30"/>
        <v>-8.4477001874999988</v>
      </c>
    </row>
    <row r="57" spans="2:11" x14ac:dyDescent="0.25">
      <c r="F57" s="6"/>
      <c r="G57" s="6"/>
      <c r="H57" s="6"/>
      <c r="I57" s="6"/>
      <c r="J57" s="6"/>
      <c r="K57" s="6"/>
    </row>
    <row r="58" spans="2:11" x14ac:dyDescent="0.25">
      <c r="B58" t="s">
        <v>59</v>
      </c>
      <c r="F58" s="6"/>
      <c r="G58" s="6"/>
      <c r="H58" s="6"/>
      <c r="I58" s="6"/>
      <c r="J58" s="6"/>
      <c r="K58" s="6"/>
    </row>
    <row r="59" spans="2:11" x14ac:dyDescent="0.25">
      <c r="B59" t="s">
        <v>60</v>
      </c>
      <c r="F59" s="6"/>
      <c r="G59" s="6">
        <f>G104</f>
        <v>-5</v>
      </c>
      <c r="H59" s="6">
        <f t="shared" ref="H59:K59" si="31">H104</f>
        <v>-5</v>
      </c>
      <c r="I59" s="6">
        <f t="shared" si="31"/>
        <v>-5</v>
      </c>
      <c r="J59" s="6">
        <f t="shared" si="31"/>
        <v>-5</v>
      </c>
      <c r="K59" s="6">
        <f t="shared" si="31"/>
        <v>-5</v>
      </c>
    </row>
    <row r="60" spans="2:11" x14ac:dyDescent="0.25">
      <c r="B60" t="s">
        <v>61</v>
      </c>
      <c r="F60" s="6"/>
      <c r="G60" s="6"/>
      <c r="H60" s="6"/>
      <c r="I60" s="6"/>
      <c r="J60" s="6"/>
      <c r="K60" s="6"/>
    </row>
    <row r="61" spans="2:11" x14ac:dyDescent="0.25">
      <c r="B61" s="9" t="s">
        <v>63</v>
      </c>
      <c r="C61" s="9"/>
      <c r="D61" s="9"/>
      <c r="E61" s="9"/>
      <c r="F61" s="10"/>
      <c r="G61" s="10"/>
      <c r="H61" s="10"/>
      <c r="I61" s="10"/>
      <c r="J61" s="10"/>
      <c r="K61" s="10"/>
    </row>
    <row r="62" spans="2:11" x14ac:dyDescent="0.25">
      <c r="B62" s="7" t="s">
        <v>62</v>
      </c>
      <c r="C62" s="7"/>
      <c r="D62" s="7"/>
      <c r="E62" s="7"/>
      <c r="F62" s="8"/>
      <c r="G62" s="8">
        <f>G58+G59+G60+G61</f>
        <v>-5</v>
      </c>
      <c r="H62" s="8">
        <f t="shared" ref="H62:K62" si="32">H58+H59+H60+H61</f>
        <v>-5</v>
      </c>
      <c r="I62" s="8">
        <f t="shared" si="32"/>
        <v>-5</v>
      </c>
      <c r="J62" s="8">
        <f t="shared" si="32"/>
        <v>-5</v>
      </c>
      <c r="K62" s="8">
        <f t="shared" si="32"/>
        <v>-5</v>
      </c>
    </row>
    <row r="63" spans="2:11" ht="15.75" thickBot="1" x14ac:dyDescent="0.3">
      <c r="B63" s="24"/>
      <c r="C63" s="24"/>
      <c r="D63" s="24"/>
      <c r="E63" s="24"/>
      <c r="F63" s="26"/>
      <c r="G63" s="26"/>
      <c r="H63" s="26"/>
      <c r="I63" s="26"/>
      <c r="J63" s="26"/>
      <c r="K63" s="26"/>
    </row>
    <row r="64" spans="2:11" ht="15.75" thickTop="1" x14ac:dyDescent="0.25">
      <c r="B64" s="7" t="s">
        <v>64</v>
      </c>
      <c r="C64" s="7"/>
      <c r="D64" s="7"/>
      <c r="E64" s="7"/>
      <c r="F64" s="8">
        <f>F53+F56+F62</f>
        <v>0</v>
      </c>
      <c r="G64" s="8">
        <f t="shared" ref="G64:K64" si="33">G53+G56+G62</f>
        <v>7.3701369863014676E-2</v>
      </c>
      <c r="H64" s="8">
        <f t="shared" si="33"/>
        <v>-7.0404794520555036E-2</v>
      </c>
      <c r="I64" s="8">
        <f t="shared" si="33"/>
        <v>0.71434648630137865</v>
      </c>
      <c r="J64" s="8">
        <f t="shared" si="33"/>
        <v>1.6318880592465623</v>
      </c>
      <c r="K64" s="8">
        <f t="shared" si="33"/>
        <v>2.6948629481335704</v>
      </c>
    </row>
    <row r="65" spans="2:11" x14ac:dyDescent="0.25">
      <c r="F65" s="6"/>
      <c r="G65" s="6"/>
      <c r="H65" s="6"/>
      <c r="I65" s="6"/>
      <c r="J65" s="6"/>
      <c r="K65" s="6"/>
    </row>
    <row r="66" spans="2:11" x14ac:dyDescent="0.25">
      <c r="B66" t="s">
        <v>67</v>
      </c>
      <c r="F66" s="6"/>
      <c r="G66" s="6">
        <f>F68</f>
        <v>20</v>
      </c>
      <c r="H66" s="6">
        <f t="shared" ref="H66:K66" si="34">G68</f>
        <v>20.073701369863016</v>
      </c>
      <c r="I66" s="6">
        <f t="shared" si="34"/>
        <v>20.003296575342461</v>
      </c>
      <c r="J66" s="6">
        <f t="shared" si="34"/>
        <v>20.717643061643841</v>
      </c>
      <c r="K66" s="6">
        <f t="shared" si="34"/>
        <v>22.349531120890404</v>
      </c>
    </row>
    <row r="67" spans="2:11" x14ac:dyDescent="0.25">
      <c r="B67" t="s">
        <v>65</v>
      </c>
      <c r="F67" s="6"/>
      <c r="G67" s="6">
        <f>G64</f>
        <v>7.3701369863014676E-2</v>
      </c>
      <c r="H67" s="6">
        <f t="shared" ref="H67:K67" si="35">H64</f>
        <v>-7.0404794520555036E-2</v>
      </c>
      <c r="I67" s="6">
        <f t="shared" si="35"/>
        <v>0.71434648630137865</v>
      </c>
      <c r="J67" s="6">
        <f t="shared" si="35"/>
        <v>1.6318880592465623</v>
      </c>
      <c r="K67" s="6">
        <f t="shared" si="35"/>
        <v>2.6948629481335704</v>
      </c>
    </row>
    <row r="68" spans="2:11" x14ac:dyDescent="0.25">
      <c r="B68" s="7" t="s">
        <v>66</v>
      </c>
      <c r="C68" s="7"/>
      <c r="D68" s="7"/>
      <c r="E68" s="7"/>
      <c r="F68" s="8">
        <f>F27</f>
        <v>20</v>
      </c>
      <c r="G68" s="8">
        <f>+G66+G67</f>
        <v>20.073701369863016</v>
      </c>
      <c r="H68" s="8">
        <f t="shared" ref="H68:K68" si="36">+H66+H67</f>
        <v>20.003296575342461</v>
      </c>
      <c r="I68" s="8">
        <f t="shared" si="36"/>
        <v>20.717643061643841</v>
      </c>
      <c r="J68" s="8">
        <f t="shared" si="36"/>
        <v>22.349531120890404</v>
      </c>
      <c r="K68" s="8">
        <f t="shared" si="36"/>
        <v>25.044394069023973</v>
      </c>
    </row>
    <row r="71" spans="2:11" x14ac:dyDescent="0.25">
      <c r="B71" s="29" t="s">
        <v>68</v>
      </c>
      <c r="C71" s="29"/>
      <c r="D71" s="29"/>
      <c r="E71" s="29"/>
      <c r="F71" s="29"/>
      <c r="G71" s="29"/>
      <c r="H71" s="29"/>
      <c r="I71" s="29"/>
      <c r="J71" s="29"/>
      <c r="K71" s="29"/>
    </row>
    <row r="73" spans="2:11" x14ac:dyDescent="0.25">
      <c r="B73" s="28" t="s">
        <v>69</v>
      </c>
      <c r="C73" s="28"/>
      <c r="D73" s="28"/>
      <c r="E73" s="28"/>
      <c r="F73" s="28"/>
      <c r="G73" s="28"/>
      <c r="H73" s="28"/>
      <c r="I73" s="28"/>
      <c r="J73" s="28"/>
      <c r="K73" s="28"/>
    </row>
    <row r="74" spans="2:11" x14ac:dyDescent="0.25">
      <c r="B74" s="3" t="s">
        <v>32</v>
      </c>
      <c r="C74" s="4"/>
      <c r="D74" s="4"/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5" t="s">
        <v>8</v>
      </c>
    </row>
    <row r="75" spans="2:11" x14ac:dyDescent="0.25">
      <c r="B75" t="s">
        <v>1</v>
      </c>
      <c r="D75" s="6"/>
      <c r="E75" s="6">
        <f>E4</f>
        <v>100</v>
      </c>
      <c r="F75" s="6">
        <f t="shared" ref="F75:K75" si="37">F4</f>
        <v>120</v>
      </c>
      <c r="G75" s="6">
        <f t="shared" si="37"/>
        <v>138</v>
      </c>
      <c r="H75" s="6">
        <f t="shared" si="37"/>
        <v>158.69999999999999</v>
      </c>
      <c r="I75" s="6">
        <f t="shared" si="37"/>
        <v>182.50499999999997</v>
      </c>
      <c r="J75" s="6">
        <f t="shared" si="37"/>
        <v>209.88074999999995</v>
      </c>
      <c r="K75" s="6">
        <f t="shared" si="37"/>
        <v>241.36286249999992</v>
      </c>
    </row>
    <row r="76" spans="2:11" x14ac:dyDescent="0.25">
      <c r="B76" t="s">
        <v>12</v>
      </c>
      <c r="D76" s="6"/>
      <c r="E76" s="6">
        <f>E5</f>
        <v>-50</v>
      </c>
      <c r="F76" s="6">
        <f t="shared" ref="F76:K76" si="38">F5</f>
        <v>-65</v>
      </c>
      <c r="G76" s="6">
        <f t="shared" si="38"/>
        <v>-71.760000000000005</v>
      </c>
      <c r="H76" s="6">
        <f t="shared" si="38"/>
        <v>-82.524000000000001</v>
      </c>
      <c r="I76" s="6">
        <f t="shared" si="38"/>
        <v>-94.902599999999993</v>
      </c>
      <c r="J76" s="6">
        <f t="shared" si="38"/>
        <v>-109.13798999999997</v>
      </c>
      <c r="K76" s="6">
        <f t="shared" si="38"/>
        <v>-125.50868849999996</v>
      </c>
    </row>
    <row r="77" spans="2:11" x14ac:dyDescent="0.25">
      <c r="D77" s="6"/>
      <c r="E77" s="6"/>
      <c r="F77" s="6"/>
      <c r="G77" s="6"/>
      <c r="H77" s="6"/>
      <c r="I77" s="6"/>
      <c r="J77" s="6"/>
      <c r="K77" s="6"/>
    </row>
    <row r="78" spans="2:11" x14ac:dyDescent="0.25">
      <c r="B78" t="s">
        <v>70</v>
      </c>
      <c r="D78" s="6"/>
      <c r="E78" s="6"/>
      <c r="F78" s="6">
        <f>F28</f>
        <v>10</v>
      </c>
      <c r="G78" s="6">
        <f>+G79*G75/365</f>
        <v>11.342465753424657</v>
      </c>
      <c r="H78" s="6">
        <f t="shared" ref="H78:K78" si="39">+H79*H75/365</f>
        <v>13.043835616438356</v>
      </c>
      <c r="I78" s="6">
        <f t="shared" si="39"/>
        <v>15.000410958904107</v>
      </c>
      <c r="J78" s="6">
        <f t="shared" si="39"/>
        <v>17.250472602739723</v>
      </c>
      <c r="K78" s="6">
        <f t="shared" si="39"/>
        <v>19.838043493150678</v>
      </c>
    </row>
    <row r="79" spans="2:11" x14ac:dyDescent="0.25">
      <c r="B79" t="s">
        <v>74</v>
      </c>
      <c r="C79" s="32">
        <f>Assumptions!D12</f>
        <v>30</v>
      </c>
      <c r="D79" s="6"/>
      <c r="E79" s="6"/>
      <c r="F79" s="6">
        <f>+F78/F75*365</f>
        <v>30.416666666666664</v>
      </c>
      <c r="G79" s="6">
        <f>+$C$79</f>
        <v>30</v>
      </c>
      <c r="H79" s="6">
        <f t="shared" ref="H79:K79" si="40">+$C$79</f>
        <v>30</v>
      </c>
      <c r="I79" s="6">
        <f t="shared" si="40"/>
        <v>30</v>
      </c>
      <c r="J79" s="6">
        <f t="shared" si="40"/>
        <v>30</v>
      </c>
      <c r="K79" s="6">
        <f t="shared" si="40"/>
        <v>30</v>
      </c>
    </row>
    <row r="80" spans="2:11" x14ac:dyDescent="0.25">
      <c r="D80" s="6"/>
      <c r="E80" s="6"/>
      <c r="F80" s="6"/>
      <c r="G80" s="6"/>
      <c r="H80" s="6"/>
      <c r="I80" s="6"/>
      <c r="J80" s="6"/>
      <c r="K80" s="6"/>
    </row>
    <row r="81" spans="2:11" x14ac:dyDescent="0.25">
      <c r="B81" t="s">
        <v>37</v>
      </c>
      <c r="D81" s="6"/>
      <c r="E81" s="6"/>
      <c r="F81" s="6">
        <f>F29</f>
        <v>30</v>
      </c>
      <c r="G81" s="6">
        <f>G82*G75/365</f>
        <v>34.027397260273972</v>
      </c>
      <c r="H81" s="6">
        <f t="shared" ref="H81:K81" si="41">H82*H75/365</f>
        <v>39.131506849315066</v>
      </c>
      <c r="I81" s="6">
        <f t="shared" si="41"/>
        <v>45.001232876712322</v>
      </c>
      <c r="J81" s="6">
        <f t="shared" si="41"/>
        <v>51.751417808219166</v>
      </c>
      <c r="K81" s="6">
        <f t="shared" si="41"/>
        <v>59.514130479452035</v>
      </c>
    </row>
    <row r="82" spans="2:11" x14ac:dyDescent="0.25">
      <c r="B82" t="s">
        <v>74</v>
      </c>
      <c r="C82" s="32">
        <f>Assumptions!D13</f>
        <v>90</v>
      </c>
      <c r="D82" s="6"/>
      <c r="E82" s="6"/>
      <c r="F82" s="6">
        <f>F81/F75*365</f>
        <v>91.25</v>
      </c>
      <c r="G82" s="6">
        <f>$C$82</f>
        <v>90</v>
      </c>
      <c r="H82" s="6">
        <f t="shared" ref="H82:K82" si="42">$C$82</f>
        <v>90</v>
      </c>
      <c r="I82" s="6">
        <f t="shared" si="42"/>
        <v>90</v>
      </c>
      <c r="J82" s="6">
        <f t="shared" si="42"/>
        <v>90</v>
      </c>
      <c r="K82" s="6">
        <f t="shared" si="42"/>
        <v>90</v>
      </c>
    </row>
    <row r="83" spans="2:11" x14ac:dyDescent="0.25">
      <c r="D83" s="6"/>
      <c r="E83" s="6"/>
      <c r="F83" s="6"/>
      <c r="G83" s="6"/>
      <c r="H83" s="6"/>
      <c r="I83" s="6"/>
      <c r="J83" s="6"/>
      <c r="K83" s="6"/>
    </row>
    <row r="84" spans="2:11" x14ac:dyDescent="0.25">
      <c r="B84" t="s">
        <v>38</v>
      </c>
      <c r="D84" s="6"/>
      <c r="E84" s="6"/>
      <c r="F84" s="6">
        <f>F30</f>
        <v>5</v>
      </c>
      <c r="G84" s="6">
        <f>$F$84</f>
        <v>5</v>
      </c>
      <c r="H84" s="6">
        <f t="shared" ref="H84:K84" si="43">$F$84</f>
        <v>5</v>
      </c>
      <c r="I84" s="6">
        <f t="shared" si="43"/>
        <v>5</v>
      </c>
      <c r="J84" s="6">
        <f t="shared" si="43"/>
        <v>5</v>
      </c>
      <c r="K84" s="6">
        <f t="shared" si="43"/>
        <v>5</v>
      </c>
    </row>
    <row r="85" spans="2:11" x14ac:dyDescent="0.25">
      <c r="D85" s="6"/>
      <c r="E85" s="6"/>
      <c r="F85" s="6"/>
      <c r="G85" s="6"/>
      <c r="H85" s="6"/>
      <c r="I85" s="6"/>
      <c r="J85" s="6"/>
      <c r="K85" s="6"/>
    </row>
    <row r="86" spans="2:11" x14ac:dyDescent="0.25">
      <c r="B86" t="s">
        <v>47</v>
      </c>
      <c r="D86" s="6"/>
      <c r="E86" s="6"/>
      <c r="F86" s="6">
        <f>F39</f>
        <v>10</v>
      </c>
      <c r="G86" s="6">
        <f>-G87*G76/365</f>
        <v>11.796164383561646</v>
      </c>
      <c r="H86" s="6">
        <f t="shared" ref="H86:K86" si="44">-H87*H76/365</f>
        <v>13.565589041095892</v>
      </c>
      <c r="I86" s="6">
        <f t="shared" si="44"/>
        <v>15.600427397260274</v>
      </c>
      <c r="J86" s="6">
        <f t="shared" si="44"/>
        <v>17.940491506849312</v>
      </c>
      <c r="K86" s="6">
        <f t="shared" si="44"/>
        <v>20.631565232876707</v>
      </c>
    </row>
    <row r="87" spans="2:11" x14ac:dyDescent="0.25">
      <c r="B87" t="s">
        <v>75</v>
      </c>
      <c r="C87" s="32">
        <f>Assumptions!D14</f>
        <v>60</v>
      </c>
      <c r="D87" s="6"/>
      <c r="E87" s="6"/>
      <c r="F87" s="6">
        <f>-F86/F76*365</f>
        <v>56.15384615384616</v>
      </c>
      <c r="G87" s="6">
        <f>$C$87</f>
        <v>60</v>
      </c>
      <c r="H87" s="6">
        <f t="shared" ref="H87:K87" si="45">$C$87</f>
        <v>60</v>
      </c>
      <c r="I87" s="6">
        <f t="shared" si="45"/>
        <v>60</v>
      </c>
      <c r="J87" s="6">
        <f t="shared" si="45"/>
        <v>60</v>
      </c>
      <c r="K87" s="6">
        <f t="shared" si="45"/>
        <v>60</v>
      </c>
    </row>
    <row r="88" spans="2:11" x14ac:dyDescent="0.25">
      <c r="D88" s="6"/>
      <c r="E88" s="6"/>
      <c r="F88" s="6"/>
      <c r="G88" s="6"/>
      <c r="H88" s="6"/>
      <c r="I88" s="6"/>
      <c r="J88" s="6"/>
      <c r="K88" s="6"/>
    </row>
    <row r="89" spans="2:11" x14ac:dyDescent="0.25">
      <c r="B89" t="s">
        <v>69</v>
      </c>
      <c r="D89" s="6"/>
      <c r="E89" s="6"/>
      <c r="F89" s="6">
        <f>F78+F81+F84-F86</f>
        <v>35</v>
      </c>
      <c r="G89" s="6">
        <f>G78+G81+G84-G86</f>
        <v>38.573698630136981</v>
      </c>
      <c r="H89" s="6">
        <f t="shared" ref="H89:K89" si="46">H78+H81+H84-H86</f>
        <v>43.609753424657534</v>
      </c>
      <c r="I89" s="6">
        <f t="shared" si="46"/>
        <v>49.401216438356144</v>
      </c>
      <c r="J89" s="6">
        <f t="shared" si="46"/>
        <v>56.061398904109581</v>
      </c>
      <c r="K89" s="6">
        <f t="shared" si="46"/>
        <v>63.720608739726003</v>
      </c>
    </row>
    <row r="90" spans="2:11" x14ac:dyDescent="0.25">
      <c r="B90" t="s">
        <v>76</v>
      </c>
      <c r="D90" s="6"/>
      <c r="E90" s="6"/>
      <c r="F90" s="6"/>
      <c r="G90" s="6">
        <f>G89-F89</f>
        <v>3.5736986301369811</v>
      </c>
      <c r="H90" s="6">
        <f t="shared" ref="H90:K90" si="47">H89-G89</f>
        <v>5.0360547945205525</v>
      </c>
      <c r="I90" s="6">
        <f t="shared" si="47"/>
        <v>5.7914630136986105</v>
      </c>
      <c r="J90" s="6">
        <f t="shared" si="47"/>
        <v>6.6601824657534365</v>
      </c>
      <c r="K90" s="6">
        <f t="shared" si="47"/>
        <v>7.6592098356164229</v>
      </c>
    </row>
    <row r="91" spans="2:11" x14ac:dyDescent="0.25">
      <c r="D91" s="6"/>
      <c r="E91" s="6"/>
      <c r="F91" s="6"/>
      <c r="G91" s="6"/>
      <c r="H91" s="6"/>
      <c r="I91" s="6"/>
      <c r="J91" s="6"/>
      <c r="K91" s="6"/>
    </row>
    <row r="92" spans="2:11" x14ac:dyDescent="0.25">
      <c r="D92" s="6"/>
      <c r="E92" s="6"/>
      <c r="F92" s="6"/>
      <c r="G92" s="6"/>
      <c r="H92" s="6"/>
      <c r="I92" s="6"/>
      <c r="J92" s="6"/>
      <c r="K92" s="6"/>
    </row>
    <row r="93" spans="2:11" x14ac:dyDescent="0.25">
      <c r="B93" s="28" t="s">
        <v>77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2:11" x14ac:dyDescent="0.25">
      <c r="B94" s="3" t="s">
        <v>32</v>
      </c>
      <c r="C94" s="4"/>
      <c r="D94" s="4"/>
      <c r="E94" s="4" t="s">
        <v>2</v>
      </c>
      <c r="F94" s="4" t="s">
        <v>3</v>
      </c>
      <c r="G94" s="4" t="s">
        <v>4</v>
      </c>
      <c r="H94" s="4" t="s">
        <v>5</v>
      </c>
      <c r="I94" s="4" t="s">
        <v>6</v>
      </c>
      <c r="J94" s="4" t="s">
        <v>7</v>
      </c>
      <c r="K94" s="5" t="s">
        <v>8</v>
      </c>
    </row>
    <row r="95" spans="2:11" x14ac:dyDescent="0.25">
      <c r="B95" t="s">
        <v>78</v>
      </c>
      <c r="D95" s="6"/>
      <c r="E95" s="6"/>
      <c r="F95" s="6"/>
      <c r="G95" s="6">
        <f>F98</f>
        <v>25</v>
      </c>
      <c r="H95" s="6">
        <f>G98</f>
        <v>24.83</v>
      </c>
      <c r="I95" s="6">
        <f t="shared" ref="I95:K95" si="48">H98</f>
        <v>25.418499999999998</v>
      </c>
      <c r="J95" s="6">
        <f t="shared" si="48"/>
        <v>26.722474999999996</v>
      </c>
      <c r="K95" s="6">
        <f t="shared" si="48"/>
        <v>28.723806249999999</v>
      </c>
    </row>
    <row r="96" spans="2:11" x14ac:dyDescent="0.25">
      <c r="B96" t="s">
        <v>33</v>
      </c>
      <c r="D96" s="6"/>
      <c r="E96" s="6"/>
      <c r="F96" s="6"/>
      <c r="G96" s="6">
        <f>-G20</f>
        <v>4.83</v>
      </c>
      <c r="H96" s="6">
        <f t="shared" ref="H96:K96" si="49">-H20</f>
        <v>5.5545</v>
      </c>
      <c r="I96" s="6">
        <f t="shared" si="49"/>
        <v>6.3876749999999998</v>
      </c>
      <c r="J96" s="6">
        <f t="shared" si="49"/>
        <v>7.3458262499999991</v>
      </c>
      <c r="K96" s="6">
        <f t="shared" si="49"/>
        <v>8.4477001874999988</v>
      </c>
    </row>
    <row r="97" spans="2:12" x14ac:dyDescent="0.25">
      <c r="B97" t="s">
        <v>17</v>
      </c>
      <c r="C97" s="12">
        <f>Assumptions!D10</f>
        <v>0.2</v>
      </c>
      <c r="D97" s="6"/>
      <c r="E97" s="6"/>
      <c r="F97" s="6"/>
      <c r="G97" s="6">
        <f>-G95*$C$97</f>
        <v>-5</v>
      </c>
      <c r="H97" s="6">
        <f t="shared" ref="H97:K97" si="50">-H95*$C$97</f>
        <v>-4.9660000000000002</v>
      </c>
      <c r="I97" s="6">
        <f t="shared" si="50"/>
        <v>-5.0837000000000003</v>
      </c>
      <c r="J97" s="6">
        <f t="shared" si="50"/>
        <v>-5.3444949999999993</v>
      </c>
      <c r="K97" s="6">
        <f t="shared" si="50"/>
        <v>-5.7447612499999998</v>
      </c>
    </row>
    <row r="98" spans="2:12" x14ac:dyDescent="0.25">
      <c r="B98" s="7" t="s">
        <v>79</v>
      </c>
      <c r="C98" s="7"/>
      <c r="D98" s="8"/>
      <c r="E98" s="8"/>
      <c r="F98" s="8">
        <f>F32</f>
        <v>25</v>
      </c>
      <c r="G98" s="8">
        <f>G95+G96+G97</f>
        <v>24.83</v>
      </c>
      <c r="H98" s="8">
        <f t="shared" ref="H98:K98" si="51">H95+H96+H97</f>
        <v>25.418499999999998</v>
      </c>
      <c r="I98" s="8">
        <f t="shared" si="51"/>
        <v>26.722474999999996</v>
      </c>
      <c r="J98" s="8">
        <f t="shared" si="51"/>
        <v>28.723806249999999</v>
      </c>
      <c r="K98" s="8">
        <f t="shared" si="51"/>
        <v>31.4267451875</v>
      </c>
    </row>
    <row r="99" spans="2:12" x14ac:dyDescent="0.25">
      <c r="D99" s="6"/>
      <c r="E99" s="6"/>
      <c r="F99" s="6"/>
      <c r="G99" s="6"/>
      <c r="H99" s="6"/>
      <c r="I99" s="6"/>
      <c r="J99" s="6"/>
      <c r="K99" s="6"/>
    </row>
    <row r="100" spans="2:12" x14ac:dyDescent="0.25">
      <c r="D100" s="6"/>
      <c r="E100" s="6"/>
      <c r="F100" s="6"/>
      <c r="G100" s="6"/>
      <c r="H100" s="6"/>
      <c r="I100" s="6"/>
      <c r="J100" s="6"/>
      <c r="K100" s="6"/>
    </row>
    <row r="101" spans="2:12" x14ac:dyDescent="0.25">
      <c r="B101" s="28" t="s">
        <v>81</v>
      </c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2:12" x14ac:dyDescent="0.25">
      <c r="B102" s="3" t="s">
        <v>32</v>
      </c>
      <c r="C102" s="4"/>
      <c r="D102" s="4"/>
      <c r="E102" s="4" t="s">
        <v>2</v>
      </c>
      <c r="F102" s="4" t="s">
        <v>3</v>
      </c>
      <c r="G102" s="4" t="s">
        <v>4</v>
      </c>
      <c r="H102" s="4" t="s">
        <v>5</v>
      </c>
      <c r="I102" s="4" t="s">
        <v>6</v>
      </c>
      <c r="J102" s="4" t="s">
        <v>7</v>
      </c>
      <c r="K102" s="5" t="s">
        <v>8</v>
      </c>
    </row>
    <row r="103" spans="2:12" x14ac:dyDescent="0.25">
      <c r="B103" t="s">
        <v>82</v>
      </c>
      <c r="E103" s="6"/>
      <c r="F103" s="6"/>
      <c r="G103" s="6">
        <f>F105</f>
        <v>25</v>
      </c>
      <c r="H103" s="6">
        <f t="shared" ref="H103:K103" si="52">G105</f>
        <v>20</v>
      </c>
      <c r="I103" s="6">
        <f t="shared" si="52"/>
        <v>15</v>
      </c>
      <c r="J103" s="6">
        <f t="shared" si="52"/>
        <v>10</v>
      </c>
      <c r="K103" s="6">
        <f t="shared" si="52"/>
        <v>5</v>
      </c>
    </row>
    <row r="104" spans="2:12" x14ac:dyDescent="0.25">
      <c r="B104" t="s">
        <v>83</v>
      </c>
      <c r="C104" s="12">
        <f>Assumptions!D16</f>
        <v>0.2</v>
      </c>
      <c r="E104" s="6"/>
      <c r="F104" s="6"/>
      <c r="G104" s="6">
        <f>-G103*$C$104</f>
        <v>-5</v>
      </c>
      <c r="H104" s="6">
        <f>G104</f>
        <v>-5</v>
      </c>
      <c r="I104" s="6">
        <f t="shared" ref="I104:K104" si="53">H104</f>
        <v>-5</v>
      </c>
      <c r="J104" s="6">
        <f t="shared" si="53"/>
        <v>-5</v>
      </c>
      <c r="K104" s="6">
        <f t="shared" si="53"/>
        <v>-5</v>
      </c>
      <c r="L104" s="6"/>
    </row>
    <row r="105" spans="2:12" x14ac:dyDescent="0.25">
      <c r="B105" t="s">
        <v>84</v>
      </c>
      <c r="E105" s="6"/>
      <c r="F105" s="6">
        <f>F38+F41</f>
        <v>25</v>
      </c>
      <c r="G105" s="6">
        <f>G103+G104</f>
        <v>20</v>
      </c>
      <c r="H105" s="6">
        <f t="shared" ref="H105:K105" si="54">H103+H104</f>
        <v>15</v>
      </c>
      <c r="I105" s="6">
        <f t="shared" si="54"/>
        <v>10</v>
      </c>
      <c r="J105" s="6">
        <f t="shared" si="54"/>
        <v>5</v>
      </c>
      <c r="K105" s="6">
        <f t="shared" si="54"/>
        <v>0</v>
      </c>
    </row>
    <row r="106" spans="2:12" x14ac:dyDescent="0.25">
      <c r="E106" s="6"/>
      <c r="F106" s="6"/>
      <c r="G106" s="6"/>
      <c r="H106" s="6"/>
      <c r="I106" s="6"/>
      <c r="J106" s="6"/>
      <c r="K106" s="6"/>
    </row>
    <row r="107" spans="2:12" x14ac:dyDescent="0.25">
      <c r="B107" t="s">
        <v>18</v>
      </c>
      <c r="C107" s="12">
        <f>Assumptions!D17</f>
        <v>0.04</v>
      </c>
      <c r="E107" s="6"/>
      <c r="F107" s="6"/>
      <c r="G107" s="6">
        <f>G103*$C$107</f>
        <v>1</v>
      </c>
      <c r="H107" s="6">
        <f t="shared" ref="H107:K107" si="55">H103*$C$107</f>
        <v>0.8</v>
      </c>
      <c r="I107" s="6">
        <f t="shared" si="55"/>
        <v>0.6</v>
      </c>
      <c r="J107" s="6">
        <f t="shared" si="55"/>
        <v>0.4</v>
      </c>
      <c r="K107" s="6">
        <f t="shared" si="55"/>
        <v>0.2</v>
      </c>
    </row>
    <row r="108" spans="2:12" x14ac:dyDescent="0.25">
      <c r="E108" s="6"/>
      <c r="F108" s="6"/>
      <c r="G108" s="6"/>
      <c r="H108" s="6"/>
      <c r="I108" s="6"/>
      <c r="J108" s="6"/>
      <c r="K108" s="6"/>
    </row>
    <row r="109" spans="2:12" x14ac:dyDescent="0.25">
      <c r="B109" t="s">
        <v>85</v>
      </c>
      <c r="E109" s="6"/>
      <c r="F109" s="6"/>
      <c r="G109" s="6">
        <f>-H104</f>
        <v>5</v>
      </c>
      <c r="H109" s="6">
        <f t="shared" ref="H109:J109" si="56">-I104</f>
        <v>5</v>
      </c>
      <c r="I109" s="6">
        <f t="shared" si="56"/>
        <v>5</v>
      </c>
      <c r="J109" s="6">
        <f t="shared" si="56"/>
        <v>5</v>
      </c>
      <c r="K109" s="6">
        <f>-L104</f>
        <v>0</v>
      </c>
    </row>
    <row r="110" spans="2:12" x14ac:dyDescent="0.25">
      <c r="B110" t="s">
        <v>86</v>
      </c>
      <c r="E110" s="6"/>
      <c r="F110" s="6"/>
      <c r="G110" s="6">
        <f>G105-G109</f>
        <v>15</v>
      </c>
      <c r="H110" s="6">
        <f t="shared" ref="H110:K110" si="57">H105-H109</f>
        <v>10</v>
      </c>
      <c r="I110" s="6">
        <f t="shared" si="57"/>
        <v>5</v>
      </c>
      <c r="J110" s="6">
        <f t="shared" si="57"/>
        <v>0</v>
      </c>
      <c r="K110" s="6">
        <f t="shared" si="57"/>
        <v>0</v>
      </c>
    </row>
    <row r="111" spans="2:12" x14ac:dyDescent="0.25">
      <c r="E111" s="6"/>
      <c r="F111" s="6"/>
      <c r="G111" s="6"/>
      <c r="H111" s="6"/>
      <c r="I111" s="6"/>
      <c r="J111" s="6"/>
      <c r="K111" s="6"/>
    </row>
    <row r="112" spans="2:12" x14ac:dyDescent="0.25">
      <c r="E112" s="6"/>
      <c r="F112" s="6"/>
      <c r="G112" s="6"/>
      <c r="H112" s="6"/>
      <c r="I112" s="6"/>
      <c r="J112" s="6"/>
      <c r="K112" s="6"/>
    </row>
    <row r="113" spans="2:14" x14ac:dyDescent="0.25">
      <c r="B113" s="28" t="s">
        <v>89</v>
      </c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2:14" x14ac:dyDescent="0.25">
      <c r="B114" s="3" t="s">
        <v>32</v>
      </c>
      <c r="C114" s="4"/>
      <c r="D114" s="4"/>
      <c r="E114" s="4" t="s">
        <v>2</v>
      </c>
      <c r="F114" s="4" t="s">
        <v>3</v>
      </c>
      <c r="G114" s="4" t="s">
        <v>4</v>
      </c>
      <c r="H114" s="4" t="s">
        <v>5</v>
      </c>
      <c r="I114" s="4" t="s">
        <v>6</v>
      </c>
      <c r="J114" s="4" t="s">
        <v>7</v>
      </c>
      <c r="K114" s="5" t="s">
        <v>8</v>
      </c>
    </row>
    <row r="115" spans="2:14" x14ac:dyDescent="0.25">
      <c r="B115" t="s">
        <v>90</v>
      </c>
      <c r="E115" s="6"/>
      <c r="F115" s="6"/>
      <c r="G115" s="6"/>
      <c r="H115" s="6"/>
      <c r="I115" s="6"/>
      <c r="J115" s="6"/>
      <c r="K115" s="6"/>
    </row>
    <row r="116" spans="2:14" x14ac:dyDescent="0.25">
      <c r="B116" t="s">
        <v>91</v>
      </c>
      <c r="E116" s="6"/>
      <c r="F116" s="6"/>
      <c r="G116" s="6">
        <f>G10</f>
        <v>17.939999999999994</v>
      </c>
      <c r="H116" s="6">
        <f>H10</f>
        <v>20.630999999999997</v>
      </c>
      <c r="I116" s="6">
        <f>I10</f>
        <v>23.725649999999984</v>
      </c>
      <c r="J116" s="6">
        <f>J10</f>
        <v>27.284497499999993</v>
      </c>
      <c r="K116" s="6">
        <f t="shared" ref="K116" si="58">K10</f>
        <v>31.377172124999987</v>
      </c>
    </row>
    <row r="117" spans="2:14" x14ac:dyDescent="0.25">
      <c r="B117" t="s">
        <v>92</v>
      </c>
      <c r="C117" s="12">
        <f>Assumptions!D7</f>
        <v>0.28999999999999998</v>
      </c>
      <c r="E117" s="6"/>
      <c r="F117" s="6"/>
      <c r="G117" s="6">
        <f>(1-$C$117)*G116</f>
        <v>12.737399999999996</v>
      </c>
      <c r="H117" s="6">
        <f>(1-$C$117)*H116</f>
        <v>14.648009999999998</v>
      </c>
      <c r="I117" s="6">
        <f>(1-$C$117)*I116</f>
        <v>16.845211499999987</v>
      </c>
      <c r="J117" s="6">
        <f>(1-$C$117)*J116</f>
        <v>19.371993224999994</v>
      </c>
      <c r="K117" s="6">
        <f>(1-$C$117)*K116</f>
        <v>22.27779220874999</v>
      </c>
    </row>
    <row r="118" spans="2:14" x14ac:dyDescent="0.25">
      <c r="B118" t="s">
        <v>93</v>
      </c>
      <c r="C118" s="12">
        <f>C117</f>
        <v>0.28999999999999998</v>
      </c>
      <c r="E118" s="6"/>
      <c r="F118" s="6"/>
      <c r="G118" s="6">
        <f>-$C$118*G97</f>
        <v>1.45</v>
      </c>
      <c r="H118" s="6">
        <f>-$C$118*H97</f>
        <v>1.44014</v>
      </c>
      <c r="I118" s="6">
        <f>-$C$118*I97</f>
        <v>1.4742729999999999</v>
      </c>
      <c r="J118" s="6">
        <f>-$C$118*J97</f>
        <v>1.5499035499999998</v>
      </c>
      <c r="K118" s="6">
        <f>-$C$118*K97</f>
        <v>1.6659807624999998</v>
      </c>
    </row>
    <row r="119" spans="2:14" x14ac:dyDescent="0.25">
      <c r="B119" t="s">
        <v>33</v>
      </c>
      <c r="E119" s="6"/>
      <c r="F119" s="6"/>
      <c r="G119" s="6">
        <f>G20</f>
        <v>-4.83</v>
      </c>
      <c r="H119" s="6">
        <f>H20</f>
        <v>-5.5545</v>
      </c>
      <c r="I119" s="6">
        <f>I20</f>
        <v>-6.3876749999999998</v>
      </c>
      <c r="J119" s="6">
        <f>J20</f>
        <v>-7.3458262499999991</v>
      </c>
      <c r="K119" s="6">
        <f t="shared" ref="K119" si="59">K20</f>
        <v>-8.4477001874999988</v>
      </c>
    </row>
    <row r="120" spans="2:14" x14ac:dyDescent="0.25">
      <c r="B120" s="9" t="s">
        <v>76</v>
      </c>
      <c r="C120" s="9"/>
      <c r="D120" s="9"/>
      <c r="E120" s="10"/>
      <c r="F120" s="10"/>
      <c r="G120" s="10">
        <f>-G90</f>
        <v>-3.5736986301369811</v>
      </c>
      <c r="H120" s="10">
        <f>-H90</f>
        <v>-5.0360547945205525</v>
      </c>
      <c r="I120" s="10">
        <f>-I90</f>
        <v>-5.7914630136986105</v>
      </c>
      <c r="J120" s="10">
        <f>-J90</f>
        <v>-6.6601824657534365</v>
      </c>
      <c r="K120" s="10">
        <f t="shared" ref="K120" si="60">-K90</f>
        <v>-7.6592098356164229</v>
      </c>
    </row>
    <row r="121" spans="2:14" x14ac:dyDescent="0.25">
      <c r="B121" s="7" t="s">
        <v>90</v>
      </c>
      <c r="C121" s="7" t="s">
        <v>98</v>
      </c>
      <c r="D121" s="7" t="s">
        <v>97</v>
      </c>
      <c r="E121" s="8"/>
      <c r="F121" s="8"/>
      <c r="G121" s="8">
        <f>+G117+G118+G119+G120</f>
        <v>5.7837013698630138</v>
      </c>
      <c r="H121" s="8">
        <f t="shared" ref="H121:K121" si="61">+H117+H118+H119+H120</f>
        <v>5.4975952054794455</v>
      </c>
      <c r="I121" s="8">
        <f t="shared" si="61"/>
        <v>6.140346486301377</v>
      </c>
      <c r="J121" s="8">
        <f t="shared" si="61"/>
        <v>6.9158880592465586</v>
      </c>
      <c r="K121" s="8">
        <f t="shared" si="61"/>
        <v>7.8368629481335663</v>
      </c>
      <c r="L121" s="8">
        <f>K121*(1+D122)</f>
        <v>7.9936002070962378</v>
      </c>
    </row>
    <row r="122" spans="2:14" x14ac:dyDescent="0.25">
      <c r="C122" s="2">
        <f>Assumptions!H3</f>
        <v>0.11</v>
      </c>
      <c r="D122" s="2">
        <f>Assumptions!H4</f>
        <v>0.02</v>
      </c>
      <c r="E122" s="6"/>
      <c r="F122" s="6"/>
      <c r="G122" s="6"/>
      <c r="H122" s="6"/>
      <c r="I122" s="6"/>
      <c r="J122" s="6"/>
      <c r="K122" s="6"/>
      <c r="L122" s="6">
        <f>L121/(C122-D122)</f>
        <v>88.817780078847093</v>
      </c>
      <c r="M122" t="s">
        <v>99</v>
      </c>
      <c r="N122" t="s">
        <v>102</v>
      </c>
    </row>
    <row r="123" spans="2:14" x14ac:dyDescent="0.25">
      <c r="B123" t="s">
        <v>100</v>
      </c>
      <c r="E123" s="6"/>
      <c r="F123" s="6"/>
      <c r="G123" s="6">
        <v>1</v>
      </c>
      <c r="H123" s="6">
        <v>2</v>
      </c>
      <c r="I123" s="6">
        <v>3</v>
      </c>
      <c r="J123" s="6">
        <v>4</v>
      </c>
      <c r="K123" s="6">
        <v>5</v>
      </c>
      <c r="L123" s="6"/>
    </row>
    <row r="124" spans="2:14" ht="15.75" thickBot="1" x14ac:dyDescent="0.3">
      <c r="E124" s="6"/>
      <c r="F124" s="6"/>
      <c r="G124" s="36">
        <f>1/(1+$C$122)^G123</f>
        <v>0.9009009009009008</v>
      </c>
      <c r="H124" s="36">
        <f t="shared" ref="H124:K124" si="62">1/(1+$C$122)^H123</f>
        <v>0.8116224332440547</v>
      </c>
      <c r="I124" s="36">
        <f t="shared" si="62"/>
        <v>0.73119138130095018</v>
      </c>
      <c r="J124" s="36">
        <f t="shared" si="62"/>
        <v>0.65873097414500015</v>
      </c>
      <c r="K124" s="36">
        <f t="shared" si="62"/>
        <v>0.5934513280585586</v>
      </c>
      <c r="L124" s="36">
        <f>K124</f>
        <v>0.5934513280585586</v>
      </c>
      <c r="M124" t="s">
        <v>104</v>
      </c>
    </row>
    <row r="125" spans="2:14" ht="15.75" thickBot="1" x14ac:dyDescent="0.3">
      <c r="B125" t="s">
        <v>101</v>
      </c>
      <c r="C125" s="37">
        <f>SUM(G125:L125)</f>
        <v>76.077817747031418</v>
      </c>
      <c r="E125" s="6"/>
      <c r="F125" s="6"/>
      <c r="G125" s="6">
        <f>G121*G124</f>
        <v>5.2105417746513636</v>
      </c>
      <c r="H125" s="6">
        <f t="shared" ref="H125:L125" si="63">H121*H124</f>
        <v>4.4619715976620764</v>
      </c>
      <c r="I125" s="6">
        <f t="shared" si="63"/>
        <v>4.4897684289851396</v>
      </c>
      <c r="J125" s="6">
        <f t="shared" si="63"/>
        <v>4.5557096783452602</v>
      </c>
      <c r="K125" s="6">
        <f t="shared" si="63"/>
        <v>4.6507967243827757</v>
      </c>
      <c r="L125" s="6">
        <f>L122*L124</f>
        <v>52.709029543004796</v>
      </c>
    </row>
    <row r="126" spans="2:14" x14ac:dyDescent="0.25">
      <c r="C126" t="s">
        <v>103</v>
      </c>
      <c r="E126" s="6"/>
      <c r="F126" s="6"/>
      <c r="G126" s="6"/>
      <c r="H126" s="6"/>
      <c r="I126" s="6"/>
      <c r="J126" s="6"/>
      <c r="K126" s="6"/>
      <c r="L126" s="6"/>
    </row>
    <row r="127" spans="2:14" x14ac:dyDescent="0.25">
      <c r="E127" s="6"/>
      <c r="F127" s="6"/>
      <c r="G127" s="6"/>
      <c r="H127" s="6"/>
      <c r="I127" s="6"/>
      <c r="J127" s="6"/>
      <c r="K127" s="6"/>
      <c r="L127" s="6"/>
    </row>
    <row r="128" spans="2:14" x14ac:dyDescent="0.25">
      <c r="E128" s="6"/>
      <c r="F128" s="6"/>
      <c r="G128" s="6"/>
      <c r="H128" s="6"/>
      <c r="I128" s="6"/>
      <c r="J128" s="6"/>
      <c r="K128" s="6"/>
      <c r="L128" s="6"/>
    </row>
    <row r="129" spans="3:12" x14ac:dyDescent="0.25">
      <c r="C129">
        <f>C125/F10</f>
        <v>6.3398181455859515</v>
      </c>
      <c r="E129" s="6"/>
      <c r="F129" s="6"/>
      <c r="G129" s="6"/>
      <c r="H129" s="6"/>
      <c r="I129" s="6"/>
      <c r="J129" s="6"/>
      <c r="K129" s="6">
        <f>C129*K116</f>
        <v>198.92556519524862</v>
      </c>
      <c r="L129" s="6"/>
    </row>
    <row r="130" spans="3:12" x14ac:dyDescent="0.25">
      <c r="E130" s="6"/>
      <c r="F130" s="6"/>
      <c r="G130" s="6"/>
      <c r="H130" s="6"/>
      <c r="I130" s="6"/>
      <c r="J130" s="6"/>
      <c r="K130" s="6"/>
      <c r="L130" s="6"/>
    </row>
    <row r="131" spans="3:12" x14ac:dyDescent="0.25">
      <c r="E131" s="6"/>
      <c r="F131" s="6"/>
      <c r="G131" s="6"/>
      <c r="H131" s="6"/>
      <c r="I131" s="6"/>
      <c r="J131" s="6"/>
      <c r="K131" s="6"/>
      <c r="L131" s="6"/>
    </row>
    <row r="132" spans="3:12" x14ac:dyDescent="0.25">
      <c r="E132" s="6"/>
      <c r="F132" s="6"/>
      <c r="G132" s="6"/>
      <c r="H132" s="6"/>
      <c r="I132" s="6"/>
      <c r="J132" s="6"/>
      <c r="K132" s="6"/>
      <c r="L132" s="6"/>
    </row>
    <row r="133" spans="3:12" x14ac:dyDescent="0.25">
      <c r="E133" s="6"/>
      <c r="F133" s="6"/>
      <c r="G133" s="6"/>
      <c r="H133" s="6"/>
      <c r="I133" s="6"/>
      <c r="J133" s="6"/>
      <c r="K133" s="6"/>
      <c r="L133" s="6"/>
    </row>
    <row r="134" spans="3:12" x14ac:dyDescent="0.25">
      <c r="E134" s="6"/>
      <c r="F134" s="6"/>
      <c r="G134" s="6"/>
      <c r="H134" s="6"/>
      <c r="I134" s="6"/>
      <c r="J134" s="6"/>
      <c r="K134" s="6"/>
      <c r="L134" s="6"/>
    </row>
    <row r="135" spans="3:12" x14ac:dyDescent="0.25">
      <c r="E135" s="6"/>
      <c r="F135" s="6"/>
      <c r="G135" s="6"/>
      <c r="H135" s="6"/>
      <c r="I135" s="6"/>
      <c r="J135" s="6"/>
      <c r="K135" s="6"/>
      <c r="L135" s="6"/>
    </row>
    <row r="136" spans="3:12" x14ac:dyDescent="0.25">
      <c r="E136" s="6"/>
      <c r="F136" s="6"/>
      <c r="G136" s="6"/>
      <c r="H136" s="6"/>
      <c r="I136" s="6"/>
      <c r="J136" s="6"/>
      <c r="K136" s="6"/>
      <c r="L136" s="6"/>
    </row>
    <row r="137" spans="3:12" x14ac:dyDescent="0.25">
      <c r="E137" s="6"/>
      <c r="F137" s="6"/>
      <c r="G137" s="6"/>
      <c r="H137" s="6"/>
      <c r="I137" s="6"/>
      <c r="J137" s="6"/>
      <c r="K137" s="6"/>
      <c r="L137" s="6"/>
    </row>
    <row r="138" spans="3:12" x14ac:dyDescent="0.25">
      <c r="E138" s="6"/>
      <c r="F138" s="6"/>
      <c r="G138" s="6"/>
      <c r="H138" s="6"/>
      <c r="I138" s="6"/>
      <c r="J138" s="6"/>
      <c r="K138" s="6"/>
      <c r="L138" s="6"/>
    </row>
    <row r="139" spans="3:12" x14ac:dyDescent="0.25">
      <c r="E139" s="6"/>
      <c r="F139" s="6"/>
      <c r="G139" s="6"/>
      <c r="H139" s="6"/>
      <c r="I139" s="6"/>
      <c r="J139" s="6"/>
      <c r="K139" s="6"/>
      <c r="L139" s="6"/>
    </row>
    <row r="140" spans="3:12" x14ac:dyDescent="0.25">
      <c r="E140" s="6"/>
      <c r="F140" s="6"/>
      <c r="G140" s="6"/>
      <c r="H140" s="6"/>
      <c r="I140" s="6"/>
      <c r="J140" s="6"/>
      <c r="K140" s="6"/>
      <c r="L140" s="6"/>
    </row>
    <row r="141" spans="3:12" x14ac:dyDescent="0.25">
      <c r="E141" s="6"/>
      <c r="F141" s="6"/>
      <c r="G141" s="6"/>
      <c r="H141" s="6"/>
      <c r="I141" s="6"/>
      <c r="J141" s="6"/>
      <c r="K141" s="6"/>
      <c r="L141" s="6"/>
    </row>
    <row r="142" spans="3:12" x14ac:dyDescent="0.25">
      <c r="E142" s="6"/>
      <c r="F142" s="6"/>
      <c r="G142" s="6"/>
      <c r="H142" s="6"/>
      <c r="I142" s="6"/>
      <c r="J142" s="6"/>
      <c r="K142" s="6"/>
      <c r="L142" s="6"/>
    </row>
    <row r="143" spans="3:12" x14ac:dyDescent="0.25">
      <c r="E143" s="6"/>
      <c r="F143" s="6"/>
      <c r="G143" s="6"/>
      <c r="H143" s="6"/>
      <c r="I143" s="6"/>
      <c r="J143" s="6"/>
      <c r="K143" s="6"/>
      <c r="L143" s="6"/>
    </row>
    <row r="144" spans="3:12" x14ac:dyDescent="0.25">
      <c r="E144" s="6"/>
      <c r="F144" s="6"/>
      <c r="G144" s="6"/>
      <c r="H144" s="6"/>
      <c r="I144" s="6"/>
      <c r="J144" s="6"/>
      <c r="K144" s="6"/>
      <c r="L144" s="6"/>
    </row>
    <row r="145" spans="5:12" x14ac:dyDescent="0.25">
      <c r="E145" s="6"/>
      <c r="F145" s="6"/>
      <c r="G145" s="6"/>
      <c r="H145" s="6"/>
      <c r="I145" s="6"/>
      <c r="J145" s="6"/>
      <c r="K145" s="6"/>
      <c r="L145" s="6"/>
    </row>
    <row r="146" spans="5:12" x14ac:dyDescent="0.25">
      <c r="E146" s="6"/>
      <c r="F146" s="6"/>
      <c r="G146" s="6"/>
      <c r="H146" s="6"/>
      <c r="I146" s="6"/>
      <c r="J146" s="6"/>
      <c r="K146" s="6"/>
      <c r="L146" s="6"/>
    </row>
  </sheetData>
  <conditionalFormatting sqref="F44:K4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F14"/>
  <sheetViews>
    <sheetView workbookViewId="0">
      <selection activeCell="E9" sqref="E9"/>
    </sheetView>
  </sheetViews>
  <sheetFormatPr defaultRowHeight="15" x14ac:dyDescent="0.25"/>
  <cols>
    <col min="3" max="3" width="18.140625" customWidth="1"/>
  </cols>
  <sheetData>
    <row r="2" spans="3:6" x14ac:dyDescent="0.25">
      <c r="C2" t="s">
        <v>0</v>
      </c>
    </row>
    <row r="3" spans="3:6" x14ac:dyDescent="0.25">
      <c r="E3" t="s">
        <v>2</v>
      </c>
      <c r="F3" t="s">
        <v>3</v>
      </c>
    </row>
    <row r="4" spans="3:6" x14ac:dyDescent="0.25">
      <c r="C4" t="s">
        <v>1</v>
      </c>
      <c r="E4" s="6">
        <v>100</v>
      </c>
      <c r="F4" s="6">
        <v>120</v>
      </c>
    </row>
    <row r="5" spans="3:6" x14ac:dyDescent="0.25">
      <c r="C5" t="s">
        <v>12</v>
      </c>
      <c r="E5" s="6">
        <v>-50</v>
      </c>
      <c r="F5" s="6">
        <v>-65</v>
      </c>
    </row>
    <row r="6" spans="3:6" x14ac:dyDescent="0.25">
      <c r="C6" t="s">
        <v>13</v>
      </c>
      <c r="E6" s="6">
        <f>E4+E5</f>
        <v>50</v>
      </c>
      <c r="F6" s="6">
        <f>F4+F5</f>
        <v>55</v>
      </c>
    </row>
    <row r="7" spans="3:6" x14ac:dyDescent="0.25">
      <c r="C7" t="s">
        <v>14</v>
      </c>
      <c r="E7" s="6">
        <v>-20</v>
      </c>
      <c r="F7" s="6">
        <v>-22</v>
      </c>
    </row>
    <row r="8" spans="3:6" x14ac:dyDescent="0.25">
      <c r="C8" t="s">
        <v>15</v>
      </c>
      <c r="E8" s="6">
        <v>-20</v>
      </c>
      <c r="F8" s="6">
        <v>-21</v>
      </c>
    </row>
    <row r="9" spans="3:6" x14ac:dyDescent="0.25">
      <c r="C9" t="s">
        <v>16</v>
      </c>
      <c r="E9" s="6">
        <f>+E6+E7+E8</f>
        <v>10</v>
      </c>
      <c r="F9" s="6">
        <f>+F6+F7+F8</f>
        <v>12</v>
      </c>
    </row>
    <row r="10" spans="3:6" x14ac:dyDescent="0.25">
      <c r="C10" t="s">
        <v>17</v>
      </c>
      <c r="E10" s="6"/>
      <c r="F10" s="6"/>
    </row>
    <row r="11" spans="3:6" x14ac:dyDescent="0.25">
      <c r="C11" t="s">
        <v>18</v>
      </c>
      <c r="E11" s="6"/>
      <c r="F11" s="6"/>
    </row>
    <row r="12" spans="3:6" x14ac:dyDescent="0.25">
      <c r="C12" t="s">
        <v>19</v>
      </c>
      <c r="E12" s="6"/>
      <c r="F12" s="6"/>
    </row>
    <row r="13" spans="3:6" x14ac:dyDescent="0.25">
      <c r="C13" t="s">
        <v>20</v>
      </c>
      <c r="E13" s="6"/>
      <c r="F13" s="6"/>
    </row>
    <row r="14" spans="3:6" x14ac:dyDescent="0.25">
      <c r="C14" t="s">
        <v>21</v>
      </c>
      <c r="E14" s="6"/>
      <c r="F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Company financials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2014-10-05T20:06:04Z</dcterms:modified>
</cp:coreProperties>
</file>