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 activeTab="3"/>
  </bookViews>
  <sheets>
    <sheet name="Assumptions" sheetId="1" r:id="rId1"/>
    <sheet name="Company Financials" sheetId="2" r:id="rId2"/>
    <sheet name="LBO Model" sheetId="5" r:id="rId3"/>
    <sheet name="LBO Model Acquisition BS" sheetId="6" r:id="rId4"/>
    <sheet name="Raw data" sheetId="3" r:id="rId5"/>
    <sheet name="Sheet1" sheetId="4" r:id="rId6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41764.8763773148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150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5" i="5" l="1"/>
  <c r="D186" i="5"/>
  <c r="D187" i="5" s="1"/>
  <c r="D188" i="5" s="1"/>
  <c r="D189" i="5" s="1"/>
  <c r="D190" i="5" s="1"/>
  <c r="D191" i="5" s="1"/>
  <c r="D176" i="5"/>
  <c r="D177" i="5" s="1"/>
  <c r="D178" i="5" s="1"/>
  <c r="D179" i="5" s="1"/>
  <c r="D180" i="5" s="1"/>
  <c r="D181" i="5" s="1"/>
  <c r="D182" i="5" s="1"/>
  <c r="D183" i="5" s="1"/>
  <c r="D184" i="5" s="1"/>
  <c r="C195" i="5"/>
  <c r="F174" i="5"/>
  <c r="G174" i="5"/>
  <c r="H174" i="5" s="1"/>
  <c r="I174" i="5" s="1"/>
  <c r="J174" i="5" s="1"/>
  <c r="F163" i="5"/>
  <c r="B158" i="5"/>
  <c r="C144" i="5"/>
  <c r="C145" i="5"/>
  <c r="C133" i="5"/>
  <c r="C136" i="5"/>
  <c r="C125" i="5"/>
  <c r="F46" i="5"/>
  <c r="F101" i="5" s="1"/>
  <c r="G101" i="5" s="1"/>
  <c r="H101" i="5" s="1"/>
  <c r="F28" i="6"/>
  <c r="F31" i="6"/>
  <c r="I31" i="6" s="1"/>
  <c r="F29" i="6"/>
  <c r="F25" i="6"/>
  <c r="F26" i="6"/>
  <c r="F27" i="6"/>
  <c r="K27" i="6" s="1"/>
  <c r="F55" i="5" s="1"/>
  <c r="F103" i="5" s="1"/>
  <c r="F20" i="6"/>
  <c r="F21" i="6"/>
  <c r="F19" i="6"/>
  <c r="F22" i="6" s="1"/>
  <c r="F15" i="6"/>
  <c r="F16" i="6"/>
  <c r="K16" i="6" s="1"/>
  <c r="F44" i="5" s="1"/>
  <c r="F95" i="5" s="1"/>
  <c r="F17" i="6"/>
  <c r="K17" i="6" s="1"/>
  <c r="F45" i="5" s="1"/>
  <c r="F98" i="5" s="1"/>
  <c r="F18" i="6"/>
  <c r="K18" i="6"/>
  <c r="K20" i="6"/>
  <c r="F48" i="5" s="1"/>
  <c r="F115" i="5" s="1"/>
  <c r="G112" i="5" s="1"/>
  <c r="E38" i="6"/>
  <c r="J5" i="6"/>
  <c r="C3" i="5"/>
  <c r="D3" i="5" s="1"/>
  <c r="J6" i="6" s="1"/>
  <c r="J15" i="6" s="1"/>
  <c r="J31" i="6" s="1"/>
  <c r="J32" i="6" s="1"/>
  <c r="B13" i="6"/>
  <c r="C12" i="5"/>
  <c r="D12" i="5" s="1"/>
  <c r="C9" i="5"/>
  <c r="C10" i="5"/>
  <c r="E19" i="5"/>
  <c r="F19" i="5"/>
  <c r="E20" i="5"/>
  <c r="E93" i="5" s="1"/>
  <c r="F20" i="5"/>
  <c r="F93" i="5" s="1"/>
  <c r="E21" i="5"/>
  <c r="F21" i="5"/>
  <c r="G152" i="5"/>
  <c r="H152" i="5" s="1"/>
  <c r="I152" i="5" s="1"/>
  <c r="J152" i="5" s="1"/>
  <c r="K152" i="5" s="1"/>
  <c r="G119" i="5"/>
  <c r="H119" i="5" s="1"/>
  <c r="I119" i="5" s="1"/>
  <c r="J119" i="5" s="1"/>
  <c r="K119" i="5" s="1"/>
  <c r="C114" i="5"/>
  <c r="G111" i="5"/>
  <c r="H111" i="5" s="1"/>
  <c r="I111" i="5" s="1"/>
  <c r="J111" i="5" s="1"/>
  <c r="K111" i="5" s="1"/>
  <c r="C104" i="5"/>
  <c r="H104" i="5" s="1"/>
  <c r="B103" i="5"/>
  <c r="B101" i="5"/>
  <c r="C99" i="5"/>
  <c r="K99" i="5" s="1"/>
  <c r="B98" i="5"/>
  <c r="C96" i="5"/>
  <c r="I96" i="5" s="1"/>
  <c r="B95" i="5"/>
  <c r="G91" i="5"/>
  <c r="H91" i="5" s="1"/>
  <c r="I91" i="5" s="1"/>
  <c r="J91" i="5" s="1"/>
  <c r="K91" i="5" s="1"/>
  <c r="F80" i="5"/>
  <c r="E80" i="5"/>
  <c r="G64" i="5"/>
  <c r="H64" i="5" s="1"/>
  <c r="I64" i="5" s="1"/>
  <c r="J64" i="5" s="1"/>
  <c r="K64" i="5" s="1"/>
  <c r="G41" i="5"/>
  <c r="H41" i="5" s="1"/>
  <c r="I41" i="5" s="1"/>
  <c r="J41" i="5" s="1"/>
  <c r="K41" i="5" s="1"/>
  <c r="C37" i="5"/>
  <c r="I37" i="5" s="1"/>
  <c r="G35" i="5"/>
  <c r="H35" i="5" s="1"/>
  <c r="I35" i="5" s="1"/>
  <c r="J35" i="5" s="1"/>
  <c r="K35" i="5" s="1"/>
  <c r="B35" i="5"/>
  <c r="B41" i="5" s="1"/>
  <c r="B64" i="5" s="1"/>
  <c r="B91" i="5" s="1"/>
  <c r="B111" i="5" s="1"/>
  <c r="F26" i="5"/>
  <c r="F29" i="5" s="1"/>
  <c r="E26" i="5"/>
  <c r="E29" i="5" s="1"/>
  <c r="B26" i="5"/>
  <c r="F24" i="5"/>
  <c r="E24" i="5"/>
  <c r="B24" i="5"/>
  <c r="F23" i="5"/>
  <c r="E23" i="5"/>
  <c r="B23" i="5"/>
  <c r="B20" i="5"/>
  <c r="B93" i="5" s="1"/>
  <c r="B19" i="5"/>
  <c r="B92" i="5" s="1"/>
  <c r="I18" i="5"/>
  <c r="J18" i="5" s="1"/>
  <c r="K18" i="5" s="1"/>
  <c r="G18" i="5"/>
  <c r="H18" i="5" s="1"/>
  <c r="C122" i="2"/>
  <c r="F116" i="2"/>
  <c r="H124" i="2"/>
  <c r="G124" i="2"/>
  <c r="I123" i="2"/>
  <c r="J123" i="2" s="1"/>
  <c r="K123" i="2" s="1"/>
  <c r="H123" i="2"/>
  <c r="G114" i="2"/>
  <c r="H114" i="2" s="1"/>
  <c r="I114" i="2" s="1"/>
  <c r="J114" i="2" s="1"/>
  <c r="K114" i="2" s="1"/>
  <c r="B114" i="2"/>
  <c r="B120" i="2"/>
  <c r="K41" i="2"/>
  <c r="K38" i="2"/>
  <c r="K109" i="2"/>
  <c r="C107" i="2"/>
  <c r="C104" i="2"/>
  <c r="G104" i="2" s="1"/>
  <c r="G103" i="2"/>
  <c r="F105" i="2"/>
  <c r="B102" i="2"/>
  <c r="G102" i="2"/>
  <c r="H102" i="2" s="1"/>
  <c r="I102" i="2" s="1"/>
  <c r="J102" i="2" s="1"/>
  <c r="K102" i="2" s="1"/>
  <c r="D4" i="5" l="1"/>
  <c r="F32" i="6"/>
  <c r="G29" i="6"/>
  <c r="G25" i="6"/>
  <c r="K25" i="6" s="1"/>
  <c r="F53" i="5" s="1"/>
  <c r="J8" i="6"/>
  <c r="G26" i="6"/>
  <c r="F104" i="5"/>
  <c r="F22" i="5"/>
  <c r="K104" i="5"/>
  <c r="D6" i="5"/>
  <c r="D9" i="5" s="1"/>
  <c r="E9" i="5" s="1"/>
  <c r="E5" i="6" s="1"/>
  <c r="G99" i="5"/>
  <c r="H37" i="5"/>
  <c r="H99" i="5"/>
  <c r="G114" i="5"/>
  <c r="G27" i="5" s="1"/>
  <c r="G66" i="5" s="1"/>
  <c r="K37" i="5"/>
  <c r="J99" i="5"/>
  <c r="G104" i="5"/>
  <c r="I99" i="5"/>
  <c r="I104" i="5"/>
  <c r="F154" i="5"/>
  <c r="J104" i="5"/>
  <c r="B119" i="5"/>
  <c r="B152" i="5"/>
  <c r="I101" i="5"/>
  <c r="H46" i="5"/>
  <c r="G46" i="5"/>
  <c r="G37" i="5"/>
  <c r="J37" i="5"/>
  <c r="H96" i="5"/>
  <c r="G96" i="5"/>
  <c r="K96" i="5"/>
  <c r="J96" i="5"/>
  <c r="E22" i="5"/>
  <c r="E92" i="5"/>
  <c r="E37" i="5"/>
  <c r="F92" i="5"/>
  <c r="F37" i="5"/>
  <c r="F106" i="5"/>
  <c r="K124" i="2"/>
  <c r="L124" i="2" s="1"/>
  <c r="J124" i="2"/>
  <c r="I124" i="2"/>
  <c r="H104" i="2"/>
  <c r="G58" i="2"/>
  <c r="G107" i="2"/>
  <c r="G12" i="2" s="1"/>
  <c r="G105" i="2"/>
  <c r="H33" i="2"/>
  <c r="I33" i="2"/>
  <c r="J33" i="2"/>
  <c r="K33" i="2"/>
  <c r="G33" i="2"/>
  <c r="C97" i="2"/>
  <c r="G97" i="2" s="1"/>
  <c r="G11" i="2" s="1"/>
  <c r="G49" i="2" s="1"/>
  <c r="G95" i="2"/>
  <c r="F98" i="2"/>
  <c r="B94" i="2"/>
  <c r="G94" i="2"/>
  <c r="H94" i="2" s="1"/>
  <c r="I94" i="2" s="1"/>
  <c r="J94" i="2" s="1"/>
  <c r="K94" i="2" s="1"/>
  <c r="H30" i="2"/>
  <c r="I30" i="2"/>
  <c r="J30" i="2"/>
  <c r="K30" i="2"/>
  <c r="G30" i="2"/>
  <c r="F89" i="2"/>
  <c r="C87" i="2"/>
  <c r="J87" i="2" s="1"/>
  <c r="H84" i="2"/>
  <c r="I84" i="2"/>
  <c r="J84" i="2" s="1"/>
  <c r="K84" i="2" s="1"/>
  <c r="G84" i="2"/>
  <c r="C82" i="2"/>
  <c r="G82" i="2" s="1"/>
  <c r="C79" i="2"/>
  <c r="K79" i="2" s="1"/>
  <c r="F86" i="2"/>
  <c r="F84" i="2"/>
  <c r="F81" i="2"/>
  <c r="F78" i="2"/>
  <c r="B86" i="2"/>
  <c r="B84" i="2"/>
  <c r="B81" i="2"/>
  <c r="B78" i="2"/>
  <c r="B74" i="2"/>
  <c r="H74" i="2"/>
  <c r="I74" i="2" s="1"/>
  <c r="J74" i="2" s="1"/>
  <c r="K74" i="2" s="1"/>
  <c r="G74" i="2"/>
  <c r="F155" i="5" l="1"/>
  <c r="G155" i="5" s="1"/>
  <c r="H155" i="5" s="1"/>
  <c r="I155" i="5" s="1"/>
  <c r="J155" i="5" s="1"/>
  <c r="K155" i="5" s="1"/>
  <c r="E37" i="6"/>
  <c r="E39" i="6" s="1"/>
  <c r="G15" i="6"/>
  <c r="I87" i="2"/>
  <c r="H87" i="2"/>
  <c r="D10" i="5"/>
  <c r="D11" i="5" s="1"/>
  <c r="D13" i="5" s="1"/>
  <c r="F96" i="5"/>
  <c r="F99" i="5"/>
  <c r="J101" i="5"/>
  <c r="I46" i="5"/>
  <c r="G87" i="2"/>
  <c r="H103" i="2"/>
  <c r="K87" i="2"/>
  <c r="G109" i="2"/>
  <c r="G38" i="2" s="1"/>
  <c r="I104" i="2"/>
  <c r="H58" i="2"/>
  <c r="H61" i="2" s="1"/>
  <c r="G79" i="2"/>
  <c r="K82" i="2"/>
  <c r="J82" i="2"/>
  <c r="I82" i="2"/>
  <c r="H82" i="2"/>
  <c r="J79" i="2"/>
  <c r="I79" i="2"/>
  <c r="H79" i="2"/>
  <c r="G61" i="2"/>
  <c r="G65" i="2"/>
  <c r="F67" i="2"/>
  <c r="F63" i="2"/>
  <c r="E63" i="2"/>
  <c r="G47" i="2"/>
  <c r="H47" i="2" s="1"/>
  <c r="I47" i="2" s="1"/>
  <c r="J47" i="2" s="1"/>
  <c r="K47" i="2" s="1"/>
  <c r="F40" i="2"/>
  <c r="F43" i="2" s="1"/>
  <c r="F31" i="2"/>
  <c r="F34" i="2" s="1"/>
  <c r="G25" i="2"/>
  <c r="H25" i="2" s="1"/>
  <c r="I25" i="2" s="1"/>
  <c r="J25" i="2" s="1"/>
  <c r="K25" i="2" s="1"/>
  <c r="C21" i="2"/>
  <c r="H21" i="2" s="1"/>
  <c r="B19" i="2"/>
  <c r="B25" i="2" s="1"/>
  <c r="B47" i="2" s="1"/>
  <c r="G19" i="2"/>
  <c r="H19" i="2" s="1"/>
  <c r="I19" i="2" s="1"/>
  <c r="J19" i="2" s="1"/>
  <c r="K19" i="2" s="1"/>
  <c r="E9" i="2"/>
  <c r="F8" i="2"/>
  <c r="F10" i="2"/>
  <c r="F13" i="2" s="1"/>
  <c r="C14" i="2"/>
  <c r="C9" i="2"/>
  <c r="C24" i="5" s="1"/>
  <c r="C8" i="2"/>
  <c r="C23" i="5" s="1"/>
  <c r="C7" i="2"/>
  <c r="C4" i="2"/>
  <c r="C19" i="5" s="1"/>
  <c r="F4" i="2"/>
  <c r="F5" i="2"/>
  <c r="F76" i="2" s="1"/>
  <c r="F87" i="2" s="1"/>
  <c r="F6" i="2"/>
  <c r="F9" i="2"/>
  <c r="E5" i="2"/>
  <c r="E76" i="2" s="1"/>
  <c r="E6" i="2"/>
  <c r="E8" i="2"/>
  <c r="E10" i="2"/>
  <c r="E13" i="2" s="1"/>
  <c r="E4" i="2"/>
  <c r="B4" i="2"/>
  <c r="B75" i="2" s="1"/>
  <c r="B5" i="2"/>
  <c r="B76" i="2" s="1"/>
  <c r="B8" i="2"/>
  <c r="B9" i="2"/>
  <c r="B10" i="2"/>
  <c r="E9" i="3"/>
  <c r="F9" i="3"/>
  <c r="E6" i="3"/>
  <c r="F6" i="3"/>
  <c r="F3" i="3"/>
  <c r="G3" i="2"/>
  <c r="H3" i="2"/>
  <c r="I3" i="2" s="1"/>
  <c r="J3" i="2" s="1"/>
  <c r="K3" i="2" s="1"/>
  <c r="F156" i="5" l="1"/>
  <c r="H26" i="6"/>
  <c r="H29" i="6" s="1"/>
  <c r="K29" i="6" s="1"/>
  <c r="F57" i="5" s="1"/>
  <c r="G122" i="5"/>
  <c r="I15" i="6"/>
  <c r="G32" i="6"/>
  <c r="G110" i="2"/>
  <c r="G41" i="2" s="1"/>
  <c r="G7" i="2"/>
  <c r="C22" i="5"/>
  <c r="E11" i="5"/>
  <c r="C117" i="2"/>
  <c r="C118" i="2" s="1"/>
  <c r="C30" i="5"/>
  <c r="K101" i="5"/>
  <c r="K46" i="5" s="1"/>
  <c r="J46" i="5"/>
  <c r="I58" i="2"/>
  <c r="I61" i="2" s="1"/>
  <c r="H109" i="2"/>
  <c r="H38" i="2" s="1"/>
  <c r="J104" i="2"/>
  <c r="H105" i="2"/>
  <c r="H107" i="2"/>
  <c r="H12" i="2" s="1"/>
  <c r="E14" i="2"/>
  <c r="E15" i="2" s="1"/>
  <c r="E21" i="2"/>
  <c r="E75" i="2"/>
  <c r="F21" i="2"/>
  <c r="F75" i="2"/>
  <c r="F44" i="2"/>
  <c r="K7" i="2"/>
  <c r="F14" i="2"/>
  <c r="F15" i="2" s="1"/>
  <c r="J7" i="2"/>
  <c r="I7" i="2"/>
  <c r="F7" i="2"/>
  <c r="H7" i="2"/>
  <c r="G21" i="2"/>
  <c r="K21" i="2"/>
  <c r="J21" i="2"/>
  <c r="I21" i="2"/>
  <c r="E7" i="2"/>
  <c r="G4" i="2"/>
  <c r="K26" i="6" l="1"/>
  <c r="F54" i="5" s="1"/>
  <c r="F158" i="5" s="1"/>
  <c r="E10" i="5"/>
  <c r="E6" i="6" s="1"/>
  <c r="E13" i="5"/>
  <c r="I21" i="6"/>
  <c r="K21" i="6" s="1"/>
  <c r="F49" i="5" s="1"/>
  <c r="G49" i="5" s="1"/>
  <c r="H49" i="5" s="1"/>
  <c r="I49" i="5" s="1"/>
  <c r="J49" i="5" s="1"/>
  <c r="K49" i="5" s="1"/>
  <c r="G22" i="5"/>
  <c r="K22" i="5"/>
  <c r="J22" i="5"/>
  <c r="I22" i="5"/>
  <c r="H22" i="5"/>
  <c r="G9" i="2"/>
  <c r="G19" i="5"/>
  <c r="F30" i="5"/>
  <c r="F31" i="5" s="1"/>
  <c r="E30" i="5"/>
  <c r="E31" i="5" s="1"/>
  <c r="I103" i="2"/>
  <c r="H110" i="2"/>
  <c r="H41" i="2" s="1"/>
  <c r="G118" i="2"/>
  <c r="K104" i="2"/>
  <c r="I109" i="2"/>
  <c r="I38" i="2" s="1"/>
  <c r="J58" i="2"/>
  <c r="J61" i="2" s="1"/>
  <c r="F79" i="2"/>
  <c r="F82" i="2"/>
  <c r="G8" i="2"/>
  <c r="G75" i="2"/>
  <c r="G6" i="2"/>
  <c r="G20" i="2"/>
  <c r="G119" i="2" s="1"/>
  <c r="H4" i="2"/>
  <c r="K28" i="6" l="1"/>
  <c r="E7" i="6"/>
  <c r="H31" i="6" s="1"/>
  <c r="K31" i="6" s="1"/>
  <c r="F59" i="5" s="1"/>
  <c r="F162" i="5"/>
  <c r="F123" i="5"/>
  <c r="G121" i="5" s="1"/>
  <c r="G123" i="5" s="1"/>
  <c r="F56" i="5"/>
  <c r="I32" i="6"/>
  <c r="H30" i="6"/>
  <c r="G21" i="5"/>
  <c r="G20" i="5" s="1"/>
  <c r="G93" i="5" s="1"/>
  <c r="G103" i="5" s="1"/>
  <c r="G55" i="5" s="1"/>
  <c r="H75" i="2"/>
  <c r="H78" i="2" s="1"/>
  <c r="H19" i="5"/>
  <c r="G92" i="5"/>
  <c r="G36" i="5"/>
  <c r="G24" i="5"/>
  <c r="G23" i="5"/>
  <c r="K58" i="2"/>
  <c r="K61" i="2" s="1"/>
  <c r="J109" i="2"/>
  <c r="J38" i="2" s="1"/>
  <c r="I105" i="2"/>
  <c r="I107" i="2"/>
  <c r="I12" i="2" s="1"/>
  <c r="G54" i="2"/>
  <c r="G55" i="2" s="1"/>
  <c r="G96" i="2"/>
  <c r="G98" i="2" s="1"/>
  <c r="G78" i="2"/>
  <c r="G81" i="2"/>
  <c r="G29" i="2" s="1"/>
  <c r="G10" i="2"/>
  <c r="G5" i="2"/>
  <c r="G76" i="2" s="1"/>
  <c r="G86" i="2" s="1"/>
  <c r="G39" i="2" s="1"/>
  <c r="G40" i="2" s="1"/>
  <c r="H6" i="2"/>
  <c r="H8" i="2"/>
  <c r="H20" i="2"/>
  <c r="H119" i="2" s="1"/>
  <c r="H9" i="2"/>
  <c r="I4" i="2"/>
  <c r="H21" i="5" l="1"/>
  <c r="H20" i="5" s="1"/>
  <c r="H93" i="5" s="1"/>
  <c r="H103" i="5" s="1"/>
  <c r="H55" i="5" s="1"/>
  <c r="G25" i="5"/>
  <c r="G26" i="5" s="1"/>
  <c r="G154" i="5" s="1"/>
  <c r="G156" i="5" s="1"/>
  <c r="E8" i="6"/>
  <c r="H15" i="6" s="1"/>
  <c r="K15" i="6" s="1"/>
  <c r="F43" i="5" s="1"/>
  <c r="G125" i="5"/>
  <c r="H121" i="5"/>
  <c r="G75" i="5"/>
  <c r="G78" i="5" s="1"/>
  <c r="H122" i="5"/>
  <c r="K30" i="6"/>
  <c r="F58" i="5" s="1"/>
  <c r="F159" i="5" s="1"/>
  <c r="H81" i="2"/>
  <c r="H29" i="2" s="1"/>
  <c r="G71" i="5"/>
  <c r="G72" i="5" s="1"/>
  <c r="G113" i="5"/>
  <c r="G115" i="5" s="1"/>
  <c r="I75" i="2"/>
  <c r="I78" i="2" s="1"/>
  <c r="I19" i="5"/>
  <c r="G98" i="5"/>
  <c r="G45" i="5" s="1"/>
  <c r="G95" i="5"/>
  <c r="H23" i="5"/>
  <c r="H92" i="5"/>
  <c r="H24" i="5"/>
  <c r="H36" i="5"/>
  <c r="H95" i="2"/>
  <c r="H97" i="2" s="1"/>
  <c r="H11" i="2" s="1"/>
  <c r="G32" i="2"/>
  <c r="G13" i="2"/>
  <c r="G14" i="2" s="1"/>
  <c r="G116" i="2"/>
  <c r="G117" i="2" s="1"/>
  <c r="J103" i="2"/>
  <c r="I110" i="2"/>
  <c r="I41" i="2" s="1"/>
  <c r="H54" i="2"/>
  <c r="H55" i="2" s="1"/>
  <c r="H96" i="2"/>
  <c r="H28" i="2"/>
  <c r="G89" i="2"/>
  <c r="G90" i="2" s="1"/>
  <c r="G28" i="2"/>
  <c r="G15" i="2"/>
  <c r="G48" i="2" s="1"/>
  <c r="I6" i="2"/>
  <c r="I8" i="2"/>
  <c r="I9" i="2"/>
  <c r="I20" i="2"/>
  <c r="I119" i="2" s="1"/>
  <c r="H10" i="2"/>
  <c r="H5" i="2"/>
  <c r="H76" i="2" s="1"/>
  <c r="H86" i="2" s="1"/>
  <c r="H39" i="2" s="1"/>
  <c r="H40" i="2" s="1"/>
  <c r="J4" i="2"/>
  <c r="H25" i="5" l="1"/>
  <c r="H26" i="5" s="1"/>
  <c r="H154" i="5" s="1"/>
  <c r="H156" i="5" s="1"/>
  <c r="F47" i="5"/>
  <c r="F50" i="5" s="1"/>
  <c r="F157" i="5"/>
  <c r="F160" i="5" s="1"/>
  <c r="L8" i="6"/>
  <c r="H32" i="6"/>
  <c r="F60" i="5"/>
  <c r="F134" i="5"/>
  <c r="G131" i="5" s="1"/>
  <c r="K32" i="6"/>
  <c r="G127" i="5"/>
  <c r="H75" i="5"/>
  <c r="H78" i="5" s="1"/>
  <c r="I122" i="5"/>
  <c r="H123" i="5"/>
  <c r="H125" i="5"/>
  <c r="K19" i="6"/>
  <c r="K22" i="6" s="1"/>
  <c r="F84" i="5"/>
  <c r="G82" i="5" s="1"/>
  <c r="G140" i="5" s="1"/>
  <c r="G141" i="5" s="1"/>
  <c r="H98" i="2"/>
  <c r="I95" i="2" s="1"/>
  <c r="I97" i="2" s="1"/>
  <c r="I11" i="2" s="1"/>
  <c r="H113" i="5"/>
  <c r="H71" i="5"/>
  <c r="H72" i="5" s="1"/>
  <c r="J75" i="2"/>
  <c r="J81" i="2" s="1"/>
  <c r="J29" i="2" s="1"/>
  <c r="J19" i="5"/>
  <c r="H112" i="5"/>
  <c r="G48" i="5"/>
  <c r="I81" i="2"/>
  <c r="I29" i="2" s="1"/>
  <c r="G106" i="5"/>
  <c r="G107" i="5" s="1"/>
  <c r="G44" i="5"/>
  <c r="I23" i="5"/>
  <c r="I92" i="5"/>
  <c r="I36" i="5"/>
  <c r="I24" i="5"/>
  <c r="I21" i="5"/>
  <c r="H95" i="5"/>
  <c r="H98" i="5"/>
  <c r="H45" i="5" s="1"/>
  <c r="H32" i="2"/>
  <c r="G50" i="2"/>
  <c r="G120" i="2"/>
  <c r="G121" i="2" s="1"/>
  <c r="G125" i="2" s="1"/>
  <c r="J105" i="2"/>
  <c r="J107" i="2"/>
  <c r="J12" i="2" s="1"/>
  <c r="H13" i="2"/>
  <c r="H14" i="2" s="1"/>
  <c r="H15" i="2" s="1"/>
  <c r="H48" i="2" s="1"/>
  <c r="H116" i="2"/>
  <c r="H117" i="2" s="1"/>
  <c r="H49" i="2"/>
  <c r="H118" i="2"/>
  <c r="G52" i="2"/>
  <c r="G63" i="2" s="1"/>
  <c r="G66" i="2" s="1"/>
  <c r="G67" i="2" s="1"/>
  <c r="H65" i="2" s="1"/>
  <c r="I54" i="2"/>
  <c r="I55" i="2" s="1"/>
  <c r="I96" i="2"/>
  <c r="I28" i="2"/>
  <c r="H89" i="2"/>
  <c r="H90" i="2" s="1"/>
  <c r="G42" i="2"/>
  <c r="G43" i="2" s="1"/>
  <c r="I10" i="2"/>
  <c r="I5" i="2"/>
  <c r="I76" i="2" s="1"/>
  <c r="I86" i="2" s="1"/>
  <c r="I39" i="2" s="1"/>
  <c r="I40" i="2" s="1"/>
  <c r="J6" i="2"/>
  <c r="J8" i="2"/>
  <c r="J9" i="2"/>
  <c r="J20" i="2"/>
  <c r="J119" i="2" s="1"/>
  <c r="K4" i="2"/>
  <c r="K19" i="5" s="1"/>
  <c r="F61" i="5" l="1"/>
  <c r="G136" i="5"/>
  <c r="G133" i="5" s="1"/>
  <c r="G68" i="5" s="1"/>
  <c r="G144" i="5"/>
  <c r="G142" i="5"/>
  <c r="G145" i="5" s="1"/>
  <c r="K34" i="6"/>
  <c r="I121" i="5"/>
  <c r="I75" i="5"/>
  <c r="I78" i="5" s="1"/>
  <c r="J122" i="5"/>
  <c r="H127" i="5"/>
  <c r="H54" i="5" s="1"/>
  <c r="G54" i="5"/>
  <c r="G128" i="5"/>
  <c r="G57" i="5" s="1"/>
  <c r="H106" i="5"/>
  <c r="H107" i="5" s="1"/>
  <c r="H44" i="5"/>
  <c r="J78" i="2"/>
  <c r="J23" i="5"/>
  <c r="J92" i="5"/>
  <c r="J24" i="5"/>
  <c r="J21" i="5"/>
  <c r="J36" i="5"/>
  <c r="K23" i="5"/>
  <c r="L23" i="5" s="1"/>
  <c r="K24" i="5"/>
  <c r="L24" i="5" s="1"/>
  <c r="L19" i="5"/>
  <c r="K21" i="5"/>
  <c r="K36" i="5"/>
  <c r="K92" i="5"/>
  <c r="I20" i="5"/>
  <c r="I71" i="5"/>
  <c r="I72" i="5" s="1"/>
  <c r="I113" i="5"/>
  <c r="G67" i="5"/>
  <c r="I98" i="2"/>
  <c r="I95" i="5"/>
  <c r="I98" i="5"/>
  <c r="I45" i="5" s="1"/>
  <c r="H114" i="5"/>
  <c r="H27" i="5" s="1"/>
  <c r="K103" i="2"/>
  <c r="J110" i="2"/>
  <c r="J41" i="2" s="1"/>
  <c r="J95" i="2"/>
  <c r="J97" i="2" s="1"/>
  <c r="J11" i="2" s="1"/>
  <c r="I32" i="2"/>
  <c r="I13" i="2"/>
  <c r="I14" i="2" s="1"/>
  <c r="I15" i="2" s="1"/>
  <c r="I48" i="2" s="1"/>
  <c r="I116" i="2"/>
  <c r="I117" i="2" s="1"/>
  <c r="H50" i="2"/>
  <c r="H52" i="2" s="1"/>
  <c r="H63" i="2" s="1"/>
  <c r="H66" i="2" s="1"/>
  <c r="H67" i="2" s="1"/>
  <c r="H120" i="2"/>
  <c r="H121" i="2" s="1"/>
  <c r="H125" i="2" s="1"/>
  <c r="I89" i="2"/>
  <c r="I90" i="2" s="1"/>
  <c r="I49" i="2"/>
  <c r="I118" i="2"/>
  <c r="G27" i="2"/>
  <c r="G31" i="2" s="1"/>
  <c r="G34" i="2" s="1"/>
  <c r="G44" i="2" s="1"/>
  <c r="J54" i="2"/>
  <c r="J55" i="2" s="1"/>
  <c r="J96" i="2"/>
  <c r="J28" i="2"/>
  <c r="K75" i="2"/>
  <c r="L4" i="2"/>
  <c r="H42" i="2"/>
  <c r="H43" i="2" s="1"/>
  <c r="J5" i="2"/>
  <c r="J76" i="2" s="1"/>
  <c r="J86" i="2" s="1"/>
  <c r="J39" i="2" s="1"/>
  <c r="J40" i="2" s="1"/>
  <c r="J10" i="2"/>
  <c r="K6" i="2"/>
  <c r="L6" i="2" s="1"/>
  <c r="K8" i="2"/>
  <c r="L8" i="2" s="1"/>
  <c r="K9" i="2"/>
  <c r="L9" i="2" s="1"/>
  <c r="K20" i="2"/>
  <c r="K119" i="2" s="1"/>
  <c r="I93" i="5" l="1"/>
  <c r="I103" i="5" s="1"/>
  <c r="I55" i="5" s="1"/>
  <c r="I25" i="5"/>
  <c r="I26" i="5" s="1"/>
  <c r="I154" i="5" s="1"/>
  <c r="I156" i="5" s="1"/>
  <c r="G158" i="5"/>
  <c r="G56" i="5"/>
  <c r="H56" i="5"/>
  <c r="G134" i="5"/>
  <c r="H131" i="5" s="1"/>
  <c r="G148" i="5"/>
  <c r="G28" i="5" s="1"/>
  <c r="G29" i="5" s="1"/>
  <c r="G30" i="5" s="1"/>
  <c r="G31" i="5" s="1"/>
  <c r="K122" i="5"/>
  <c r="L122" i="5" s="1"/>
  <c r="K127" i="5" s="1"/>
  <c r="K54" i="5" s="1"/>
  <c r="J75" i="5"/>
  <c r="J78" i="5" s="1"/>
  <c r="I127" i="5"/>
  <c r="I54" i="5" s="1"/>
  <c r="H128" i="5"/>
  <c r="H57" i="5" s="1"/>
  <c r="H158" i="5" s="1"/>
  <c r="I123" i="5"/>
  <c r="I125" i="5"/>
  <c r="J20" i="5"/>
  <c r="K71" i="5"/>
  <c r="K72" i="5" s="1"/>
  <c r="K113" i="5"/>
  <c r="L36" i="5"/>
  <c r="J98" i="5"/>
  <c r="J45" i="5" s="1"/>
  <c r="J95" i="5"/>
  <c r="J98" i="2"/>
  <c r="K95" i="2" s="1"/>
  <c r="K97" i="2" s="1"/>
  <c r="K11" i="2" s="1"/>
  <c r="H115" i="5"/>
  <c r="L21" i="5"/>
  <c r="K20" i="5"/>
  <c r="K25" i="5" s="1"/>
  <c r="K26" i="5" s="1"/>
  <c r="K95" i="5"/>
  <c r="K44" i="5" s="1"/>
  <c r="K98" i="5"/>
  <c r="K45" i="5" s="1"/>
  <c r="H66" i="5"/>
  <c r="I44" i="5"/>
  <c r="J113" i="5"/>
  <c r="J71" i="5"/>
  <c r="J72" i="5" s="1"/>
  <c r="H67" i="5"/>
  <c r="I50" i="2"/>
  <c r="I120" i="2"/>
  <c r="I121" i="2" s="1"/>
  <c r="I125" i="2" s="1"/>
  <c r="J32" i="2"/>
  <c r="J13" i="2"/>
  <c r="J14" i="2" s="1"/>
  <c r="J15" i="2" s="1"/>
  <c r="J116" i="2"/>
  <c r="J117" i="2" s="1"/>
  <c r="J49" i="2"/>
  <c r="J118" i="2"/>
  <c r="K105" i="2"/>
  <c r="K107" i="2"/>
  <c r="K12" i="2" s="1"/>
  <c r="I52" i="2"/>
  <c r="I63" i="2" s="1"/>
  <c r="I66" i="2" s="1"/>
  <c r="L20" i="2"/>
  <c r="K54" i="2"/>
  <c r="K55" i="2" s="1"/>
  <c r="K96" i="2"/>
  <c r="K78" i="2"/>
  <c r="K81" i="2"/>
  <c r="K29" i="2" s="1"/>
  <c r="J89" i="2"/>
  <c r="J90" i="2" s="1"/>
  <c r="I42" i="2"/>
  <c r="I43" i="2" s="1"/>
  <c r="I65" i="2"/>
  <c r="H27" i="2"/>
  <c r="H31" i="2" s="1"/>
  <c r="H34" i="2" s="1"/>
  <c r="H44" i="2" s="1"/>
  <c r="K5" i="2"/>
  <c r="K10" i="2"/>
  <c r="K116" i="2" s="1"/>
  <c r="K117" i="2" s="1"/>
  <c r="I106" i="5" l="1"/>
  <c r="I107" i="5" s="1"/>
  <c r="I67" i="5" s="1"/>
  <c r="J93" i="5"/>
  <c r="J103" i="5" s="1"/>
  <c r="J55" i="5" s="1"/>
  <c r="J25" i="5"/>
  <c r="J26" i="5" s="1"/>
  <c r="J154" i="5" s="1"/>
  <c r="G58" i="5"/>
  <c r="G159" i="5" s="1"/>
  <c r="I56" i="5"/>
  <c r="G59" i="5"/>
  <c r="G65" i="5"/>
  <c r="G69" i="5" s="1"/>
  <c r="G80" i="5" s="1"/>
  <c r="G83" i="5" s="1"/>
  <c r="G84" i="5" s="1"/>
  <c r="H82" i="5" s="1"/>
  <c r="H140" i="5" s="1"/>
  <c r="H141" i="5" s="1"/>
  <c r="H144" i="5" s="1"/>
  <c r="K75" i="5"/>
  <c r="K78" i="5" s="1"/>
  <c r="J127" i="5"/>
  <c r="J54" i="5" s="1"/>
  <c r="J121" i="5"/>
  <c r="I128" i="5"/>
  <c r="I57" i="5" s="1"/>
  <c r="I158" i="5" s="1"/>
  <c r="L26" i="5"/>
  <c r="K154" i="5"/>
  <c r="K156" i="5" s="1"/>
  <c r="L20" i="5"/>
  <c r="K93" i="5"/>
  <c r="K103" i="5" s="1"/>
  <c r="J44" i="5"/>
  <c r="K98" i="2"/>
  <c r="K32" i="2" s="1"/>
  <c r="H48" i="5"/>
  <c r="I112" i="5"/>
  <c r="K49" i="2"/>
  <c r="K118" i="2"/>
  <c r="J50" i="2"/>
  <c r="J120" i="2"/>
  <c r="J121" i="2" s="1"/>
  <c r="J125" i="2" s="1"/>
  <c r="I67" i="2"/>
  <c r="J65" i="2" s="1"/>
  <c r="K28" i="2"/>
  <c r="K13" i="2"/>
  <c r="L13" i="2" s="1"/>
  <c r="L10" i="2"/>
  <c r="L5" i="2"/>
  <c r="K76" i="2"/>
  <c r="K86" i="2" s="1"/>
  <c r="K39" i="2" s="1"/>
  <c r="K40" i="2" s="1"/>
  <c r="J48" i="2"/>
  <c r="J42" i="2"/>
  <c r="J156" i="5" l="1"/>
  <c r="J193" i="5"/>
  <c r="J106" i="5"/>
  <c r="J107" i="5" s="1"/>
  <c r="J67" i="5" s="1"/>
  <c r="G60" i="5"/>
  <c r="J56" i="5"/>
  <c r="H136" i="5"/>
  <c r="H133" i="5" s="1"/>
  <c r="H68" i="5" s="1"/>
  <c r="H142" i="5"/>
  <c r="H145" i="5" s="1"/>
  <c r="G43" i="5"/>
  <c r="G157" i="5" s="1"/>
  <c r="G160" i="5" s="1"/>
  <c r="J123" i="5"/>
  <c r="J125" i="5"/>
  <c r="I114" i="5"/>
  <c r="I27" i="5" s="1"/>
  <c r="K55" i="5"/>
  <c r="K56" i="5" s="1"/>
  <c r="K106" i="5"/>
  <c r="I27" i="2"/>
  <c r="I31" i="2" s="1"/>
  <c r="I34" i="2" s="1"/>
  <c r="I44" i="2" s="1"/>
  <c r="K14" i="2"/>
  <c r="K15" i="2" s="1"/>
  <c r="J52" i="2"/>
  <c r="J63" i="2" s="1"/>
  <c r="J66" i="2" s="1"/>
  <c r="J67" i="2" s="1"/>
  <c r="K89" i="2"/>
  <c r="K90" i="2" s="1"/>
  <c r="K48" i="2"/>
  <c r="L15" i="2"/>
  <c r="K42" i="2"/>
  <c r="K43" i="2" s="1"/>
  <c r="J43" i="2"/>
  <c r="E193" i="5" l="1"/>
  <c r="H193" i="5"/>
  <c r="F193" i="5"/>
  <c r="G193" i="5"/>
  <c r="I193" i="5"/>
  <c r="K107" i="5"/>
  <c r="K67" i="5" s="1"/>
  <c r="G47" i="5"/>
  <c r="G50" i="5" s="1"/>
  <c r="G61" i="5" s="1"/>
  <c r="H148" i="5"/>
  <c r="H28" i="5" s="1"/>
  <c r="H29" i="5" s="1"/>
  <c r="H30" i="5" s="1"/>
  <c r="H31" i="5" s="1"/>
  <c r="H65" i="5" s="1"/>
  <c r="H69" i="5" s="1"/>
  <c r="H80" i="5" s="1"/>
  <c r="H83" i="5" s="1"/>
  <c r="H84" i="5" s="1"/>
  <c r="H134" i="5"/>
  <c r="I115" i="5"/>
  <c r="I48" i="5" s="1"/>
  <c r="J128" i="5"/>
  <c r="J57" i="5" s="1"/>
  <c r="J158" i="5" s="1"/>
  <c r="K121" i="5"/>
  <c r="I66" i="5"/>
  <c r="K50" i="2"/>
  <c r="K52" i="2" s="1"/>
  <c r="K63" i="2" s="1"/>
  <c r="K66" i="2" s="1"/>
  <c r="K120" i="2"/>
  <c r="K121" i="2" s="1"/>
  <c r="K65" i="2"/>
  <c r="J27" i="2"/>
  <c r="J31" i="2" s="1"/>
  <c r="J34" i="2" s="1"/>
  <c r="J44" i="2" s="1"/>
  <c r="H59" i="5" l="1"/>
  <c r="H58" i="5"/>
  <c r="I131" i="5"/>
  <c r="I136" i="5" s="1"/>
  <c r="I133" i="5" s="1"/>
  <c r="I68" i="5" s="1"/>
  <c r="I82" i="5"/>
  <c r="I140" i="5" s="1"/>
  <c r="I141" i="5" s="1"/>
  <c r="H43" i="5"/>
  <c r="J112" i="5"/>
  <c r="J114" i="5" s="1"/>
  <c r="J27" i="5" s="1"/>
  <c r="K123" i="5"/>
  <c r="K128" i="5" s="1"/>
  <c r="K57" i="5" s="1"/>
  <c r="K158" i="5" s="1"/>
  <c r="K125" i="5"/>
  <c r="L121" i="2"/>
  <c r="L122" i="2" s="1"/>
  <c r="L125" i="2" s="1"/>
  <c r="C125" i="2" s="1"/>
  <c r="C127" i="2" s="1"/>
  <c r="K125" i="2"/>
  <c r="K67" i="2"/>
  <c r="K27" i="2" s="1"/>
  <c r="K31" i="2" s="1"/>
  <c r="K34" i="2" s="1"/>
  <c r="K44" i="2" s="1"/>
  <c r="H47" i="5" l="1"/>
  <c r="H50" i="5" s="1"/>
  <c r="H157" i="5"/>
  <c r="H60" i="5"/>
  <c r="H159" i="5"/>
  <c r="I134" i="5"/>
  <c r="I144" i="5"/>
  <c r="I142" i="5"/>
  <c r="I145" i="5" s="1"/>
  <c r="J115" i="5"/>
  <c r="K112" i="5" s="1"/>
  <c r="J66" i="5"/>
  <c r="H61" i="5" l="1"/>
  <c r="H160" i="5"/>
  <c r="I58" i="5"/>
  <c r="I159" i="5" s="1"/>
  <c r="J131" i="5"/>
  <c r="J136" i="5" s="1"/>
  <c r="J133" i="5" s="1"/>
  <c r="J68" i="5" s="1"/>
  <c r="I148" i="5"/>
  <c r="I28" i="5" s="1"/>
  <c r="I29" i="5" s="1"/>
  <c r="I30" i="5" s="1"/>
  <c r="I31" i="5" s="1"/>
  <c r="J48" i="5"/>
  <c r="K114" i="5"/>
  <c r="K27" i="5" s="1"/>
  <c r="J134" i="5" l="1"/>
  <c r="K131" i="5" s="1"/>
  <c r="I65" i="5"/>
  <c r="I69" i="5" s="1"/>
  <c r="I80" i="5" s="1"/>
  <c r="I83" i="5" s="1"/>
  <c r="I84" i="5" s="1"/>
  <c r="I59" i="5"/>
  <c r="K115" i="5"/>
  <c r="K48" i="5" s="1"/>
  <c r="K66" i="5"/>
  <c r="J58" i="5" l="1"/>
  <c r="J159" i="5" s="1"/>
  <c r="I60" i="5"/>
  <c r="J82" i="5"/>
  <c r="J140" i="5" s="1"/>
  <c r="J141" i="5" s="1"/>
  <c r="I43" i="5"/>
  <c r="I47" i="5" l="1"/>
  <c r="I50" i="5" s="1"/>
  <c r="I61" i="5" s="1"/>
  <c r="I157" i="5"/>
  <c r="I160" i="5" s="1"/>
  <c r="K136" i="5"/>
  <c r="K133" i="5" s="1"/>
  <c r="K68" i="5" s="1"/>
  <c r="J144" i="5"/>
  <c r="J142" i="5"/>
  <c r="J145" i="5" s="1"/>
  <c r="K134" i="5" l="1"/>
  <c r="K58" i="5" s="1"/>
  <c r="K159" i="5" s="1"/>
  <c r="J148" i="5"/>
  <c r="J28" i="5" s="1"/>
  <c r="J29" i="5" s="1"/>
  <c r="J30" i="5" s="1"/>
  <c r="J31" i="5" s="1"/>
  <c r="J65" i="5" l="1"/>
  <c r="J69" i="5" s="1"/>
  <c r="J80" i="5" s="1"/>
  <c r="J83" i="5" s="1"/>
  <c r="J84" i="5" s="1"/>
  <c r="J59" i="5"/>
  <c r="J60" i="5" l="1"/>
  <c r="K82" i="5"/>
  <c r="K140" i="5" s="1"/>
  <c r="K141" i="5" s="1"/>
  <c r="J43" i="5"/>
  <c r="J47" i="5" l="1"/>
  <c r="J50" i="5" s="1"/>
  <c r="J61" i="5" s="1"/>
  <c r="J157" i="5"/>
  <c r="J160" i="5" s="1"/>
  <c r="F164" i="5" s="1"/>
  <c r="F166" i="5" s="1"/>
  <c r="D174" i="5" s="1"/>
  <c r="K142" i="5"/>
  <c r="K145" i="5" s="1"/>
  <c r="K144" i="5"/>
  <c r="E195" i="5" l="1"/>
  <c r="H195" i="5"/>
  <c r="I195" i="5"/>
  <c r="J195" i="5"/>
  <c r="F195" i="5"/>
  <c r="G195" i="5"/>
  <c r="K148" i="5"/>
  <c r="K28" i="5" s="1"/>
  <c r="K29" i="5" s="1"/>
  <c r="K30" i="5" s="1"/>
  <c r="K31" i="5" s="1"/>
  <c r="L29" i="5" l="1"/>
  <c r="L31" i="5"/>
  <c r="K65" i="5"/>
  <c r="K69" i="5" s="1"/>
  <c r="K80" i="5" s="1"/>
  <c r="K83" i="5" s="1"/>
  <c r="K84" i="5" s="1"/>
  <c r="K43" i="5" s="1"/>
  <c r="K59" i="5"/>
  <c r="K60" i="5" s="1"/>
  <c r="K47" i="5" l="1"/>
  <c r="K50" i="5" s="1"/>
  <c r="K61" i="5" s="1"/>
  <c r="K157" i="5"/>
  <c r="K160" i="5" s="1"/>
</calcChain>
</file>

<file path=xl/comments1.xml><?xml version="1.0" encoding="utf-8"?>
<comments xmlns="http://schemas.openxmlformats.org/spreadsheetml/2006/main">
  <authors>
    <author>Renaud, Nicolas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Renaud, Nicolas:</t>
        </r>
        <r>
          <rPr>
            <sz val="9"/>
            <color indexed="81"/>
            <rFont val="Tahoma"/>
            <family val="2"/>
          </rPr>
          <t xml:space="preserve">
although an imput needs to be in the same sheet for sensitivity purposes
doesn’t affect valuation anyway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Renaud, Nicolas:</t>
        </r>
        <r>
          <rPr>
            <sz val="9"/>
            <color indexed="81"/>
            <rFont val="Tahoma"/>
            <family val="2"/>
          </rPr>
          <t xml:space="preserve">
indicative</t>
        </r>
      </text>
    </comment>
  </commentList>
</comments>
</file>

<file path=xl/sharedStrings.xml><?xml version="1.0" encoding="utf-8"?>
<sst xmlns="http://schemas.openxmlformats.org/spreadsheetml/2006/main" count="273" uniqueCount="157">
  <si>
    <t>Sales</t>
  </si>
  <si>
    <t>Summary P&amp;L</t>
  </si>
  <si>
    <t>COGS</t>
  </si>
  <si>
    <t>Gross Margin</t>
  </si>
  <si>
    <t>S&amp;M</t>
  </si>
  <si>
    <t>Opex</t>
  </si>
  <si>
    <t>EBITDA</t>
  </si>
  <si>
    <t>D&amp;A</t>
  </si>
  <si>
    <t>Interest</t>
  </si>
  <si>
    <t>Tax</t>
  </si>
  <si>
    <t>CAGR</t>
  </si>
  <si>
    <t>P&amp;L</t>
  </si>
  <si>
    <t>Sales CAGR</t>
  </si>
  <si>
    <t>Gross Profit</t>
  </si>
  <si>
    <t>S&amp;M as % of Sales</t>
  </si>
  <si>
    <t>Profit before Tax</t>
  </si>
  <si>
    <t>Net income</t>
  </si>
  <si>
    <t>Tax Rate</t>
  </si>
  <si>
    <t>CAPEX</t>
  </si>
  <si>
    <t>Capex</t>
  </si>
  <si>
    <t>C$ - MM</t>
  </si>
  <si>
    <t>Capex as a % of Sales</t>
  </si>
  <si>
    <t>capex as a % of sales</t>
  </si>
  <si>
    <t>Balance Sheet</t>
  </si>
  <si>
    <t>Cash</t>
  </si>
  <si>
    <t>Receivables</t>
  </si>
  <si>
    <t xml:space="preserve">Inventory </t>
  </si>
  <si>
    <t>prepaids</t>
  </si>
  <si>
    <t>Short Term Assets</t>
  </si>
  <si>
    <t>PP&amp;E</t>
  </si>
  <si>
    <t>Goodwill and intangibles</t>
  </si>
  <si>
    <t>Total Assets</t>
  </si>
  <si>
    <t>Assets</t>
  </si>
  <si>
    <t>Liabilities</t>
  </si>
  <si>
    <t>Revolver</t>
  </si>
  <si>
    <t>Short term debt</t>
  </si>
  <si>
    <t>Payables</t>
  </si>
  <si>
    <t>Short term Liabilities</t>
  </si>
  <si>
    <t>longterm debt</t>
  </si>
  <si>
    <t>Equity</t>
  </si>
  <si>
    <t>Total Liabilities</t>
  </si>
  <si>
    <t>Check</t>
  </si>
  <si>
    <t>Cash flow statement</t>
  </si>
  <si>
    <t>net income</t>
  </si>
  <si>
    <t>non cash items</t>
  </si>
  <si>
    <t>Cash flow from operations</t>
  </si>
  <si>
    <t>investments</t>
  </si>
  <si>
    <t>Cash from investments</t>
  </si>
  <si>
    <t>Debt repaid</t>
  </si>
  <si>
    <t>Equity issued</t>
  </si>
  <si>
    <t>Cash flow from financing</t>
  </si>
  <si>
    <t>Dividends</t>
  </si>
  <si>
    <t>Debt issued</t>
  </si>
  <si>
    <t>Total cash flow</t>
  </si>
  <si>
    <t>BoP cash</t>
  </si>
  <si>
    <t>Change</t>
  </si>
  <si>
    <t>EoP cash</t>
  </si>
  <si>
    <t>Schedules</t>
  </si>
  <si>
    <t>Working Capital</t>
  </si>
  <si>
    <t>Opex as a % of Sales</t>
  </si>
  <si>
    <t>WORKING CAPITAL</t>
  </si>
  <si>
    <t>Payables (Days of COGS)</t>
  </si>
  <si>
    <t>Inventory (DSO)</t>
  </si>
  <si>
    <t>Receivables (DSO)</t>
  </si>
  <si>
    <t xml:space="preserve">DSO </t>
  </si>
  <si>
    <t>Days of COGS</t>
  </si>
  <si>
    <t>Change in WC</t>
  </si>
  <si>
    <t>PP&amp;E SCHEDULE</t>
  </si>
  <si>
    <t>BoP PP&amp;E</t>
  </si>
  <si>
    <t>EoP PP&amp;E</t>
  </si>
  <si>
    <t>D&amp;A as a % of PP&amp;E</t>
  </si>
  <si>
    <t>Debt Schedule</t>
  </si>
  <si>
    <t>BoP Debt</t>
  </si>
  <si>
    <t>EoP Debt</t>
  </si>
  <si>
    <t>Short term Portion</t>
  </si>
  <si>
    <t>Long Term Portion</t>
  </si>
  <si>
    <t>Debt</t>
  </si>
  <si>
    <t>Term</t>
  </si>
  <si>
    <t>Armortisation (years)</t>
  </si>
  <si>
    <t>Debt Repaid</t>
  </si>
  <si>
    <t>DCF</t>
  </si>
  <si>
    <t>Free cash flow</t>
  </si>
  <si>
    <t>(1-t) * EBITDA</t>
  </si>
  <si>
    <t>t* D&amp;A</t>
  </si>
  <si>
    <t>DCF Addumptions</t>
  </si>
  <si>
    <t>WACC</t>
  </si>
  <si>
    <t>Terminal Growth Rate</t>
  </si>
  <si>
    <t>Terminal value</t>
  </si>
  <si>
    <t>wacc</t>
  </si>
  <si>
    <t>Terminal growth</t>
  </si>
  <si>
    <t>Discount factor (year)</t>
  </si>
  <si>
    <t>Actualised FCF</t>
  </si>
  <si>
    <t>LBO Assumptions</t>
  </si>
  <si>
    <t>Sources</t>
  </si>
  <si>
    <t>Senior Debt</t>
  </si>
  <si>
    <t>Sub Debt</t>
  </si>
  <si>
    <t>Senior Debt (xLTM EBITDA)</t>
  </si>
  <si>
    <t>Sub Debt (xLTM EBITDA)</t>
  </si>
  <si>
    <t>Senior Interest</t>
  </si>
  <si>
    <t>Sub Debt Interest</t>
  </si>
  <si>
    <t>PIK (1=yes)</t>
  </si>
  <si>
    <t>Max Total Debt / EV</t>
  </si>
  <si>
    <t>Investment period (Years)</t>
  </si>
  <si>
    <t>Sources and Uses</t>
  </si>
  <si>
    <t>Transaction Price</t>
  </si>
  <si>
    <t>LTM EBITDA</t>
  </si>
  <si>
    <t>Max Senior</t>
  </si>
  <si>
    <t>max Sub</t>
  </si>
  <si>
    <t>Max Total Debt</t>
  </si>
  <si>
    <t>Total Debt</t>
  </si>
  <si>
    <t>Financing</t>
  </si>
  <si>
    <t>Max</t>
  </si>
  <si>
    <t>Actual</t>
  </si>
  <si>
    <t>Implied Equity</t>
  </si>
  <si>
    <t>Senior</t>
  </si>
  <si>
    <t>Sub</t>
  </si>
  <si>
    <t xml:space="preserve">At transaction </t>
  </si>
  <si>
    <t xml:space="preserve">Repayment of debt </t>
  </si>
  <si>
    <t>Uses</t>
  </si>
  <si>
    <t xml:space="preserve">Equity </t>
  </si>
  <si>
    <t>Transaction Cost</t>
  </si>
  <si>
    <t>Transaction Costs</t>
  </si>
  <si>
    <t>Return Threshold</t>
  </si>
  <si>
    <t>Total</t>
  </si>
  <si>
    <t>Issue Equity</t>
  </si>
  <si>
    <t>Senior Term (years)</t>
  </si>
  <si>
    <t xml:space="preserve">Short term portiion Calculation </t>
  </si>
  <si>
    <t>Yearly Payments</t>
  </si>
  <si>
    <t>Payment</t>
  </si>
  <si>
    <t xml:space="preserve">Post Transaction </t>
  </si>
  <si>
    <t>Subordinated Debt</t>
  </si>
  <si>
    <t>SENIOR</t>
  </si>
  <si>
    <t>SUB</t>
  </si>
  <si>
    <t>o/w PIK Interest</t>
  </si>
  <si>
    <t>Total Interest</t>
  </si>
  <si>
    <t>Overdraft</t>
  </si>
  <si>
    <t>Positive</t>
  </si>
  <si>
    <t>Cash Balance</t>
  </si>
  <si>
    <t>Interest on Positive balance</t>
  </si>
  <si>
    <t>Interest on Overdraft</t>
  </si>
  <si>
    <t>non cash items (capitalised Interests)</t>
  </si>
  <si>
    <t>EV Calculation</t>
  </si>
  <si>
    <t>Entry multiple</t>
  </si>
  <si>
    <t>Implied EV</t>
  </si>
  <si>
    <t>+Cash</t>
  </si>
  <si>
    <t>-Sub</t>
  </si>
  <si>
    <t>Implied Equity Value</t>
  </si>
  <si>
    <t>Initial Investment</t>
  </si>
  <si>
    <t>Years</t>
  </si>
  <si>
    <t>Investment Value at Exit</t>
  </si>
  <si>
    <t>Implied IRR</t>
  </si>
  <si>
    <t>Sensitivity</t>
  </si>
  <si>
    <t>Sensitivity Table</t>
  </si>
  <si>
    <t>Plan Achieved</t>
  </si>
  <si>
    <t>Valuation</t>
  </si>
  <si>
    <t>Band Assuming Returns</t>
  </si>
  <si>
    <t>Implied EBITDA at exit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</si>
</sst>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\A"/>
    <numFmt numFmtId="165" formatCode="0&quot;E&quot;"/>
    <numFmt numFmtId="166" formatCode="0.0"/>
    <numFmt numFmtId="167" formatCode="0.0;\(0.0\);\-"/>
    <numFmt numFmtId="168" formatCode="0.0%"/>
    <numFmt numFmtId="169" formatCode="#,##0\ ;\(#,##0\)\ ;\-"/>
    <numFmt numFmtId="170" formatCode="#,##0%\ ;\(#,##0%\)\ ;\-"/>
    <numFmt numFmtId="171" formatCode="#,##0.0%\ ;\(#,##0.0%\)\ ;\-"/>
    <numFmt numFmtId="172" formatCode="#,##0.0\ ;\(#,##0.0\)\ ;\-"/>
    <numFmt numFmtId="173" formatCode="#,##0.0"/>
    <numFmt numFmtId="175" formatCode="#,##0.00\ ;\(#,##0.00\)\ ;\-"/>
    <numFmt numFmtId="177" formatCode="#,##0.0\x\ ;\(#,##0.0\x\)\ ;\-"/>
    <numFmt numFmtId="178" formatCode="#,##0.00\x\ ;\(#,##0.00\x\)\ ;\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0"/>
      <name val="Franklin Gothic Demi"/>
      <family val="2"/>
    </font>
    <font>
      <b/>
      <sz val="12"/>
      <color theme="0"/>
      <name val="Franklin Gothic Demi"/>
      <family val="2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2" tint="-0.249977111117893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b/>
      <sz val="13"/>
      <color theme="2" tint="-0.249977111117893"/>
      <name val="Franklin Gothic Demi"/>
      <family val="2"/>
    </font>
    <font>
      <b/>
      <sz val="11"/>
      <color theme="9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9.9795525986510827E-3"/>
        <bgColor indexed="64" tint="9.9795525986510827E-3"/>
      </patternFill>
    </fill>
    <fill>
      <patternFill patternType="solid">
        <fgColor theme="2" tint="9.9795525986510827E-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0" applyNumberFormat="1"/>
    <xf numFmtId="0" fontId="2" fillId="2" borderId="0" xfId="0" applyFont="1" applyFill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0" fillId="0" borderId="0" xfId="0" applyNumberFormat="1"/>
    <xf numFmtId="166" fontId="4" fillId="0" borderId="0" xfId="0" applyNumberFormat="1" applyFont="1"/>
    <xf numFmtId="167" fontId="0" fillId="0" borderId="0" xfId="0" applyNumberFormat="1"/>
    <xf numFmtId="167" fontId="3" fillId="0" borderId="0" xfId="0" applyNumberFormat="1" applyFont="1"/>
    <xf numFmtId="0" fontId="0" fillId="0" borderId="1" xfId="0" applyBorder="1"/>
    <xf numFmtId="167" fontId="0" fillId="0" borderId="1" xfId="0" applyNumberFormat="1" applyBorder="1"/>
    <xf numFmtId="0" fontId="3" fillId="0" borderId="2" xfId="0" applyFont="1" applyBorder="1"/>
    <xf numFmtId="167" fontId="3" fillId="0" borderId="2" xfId="0" applyNumberFormat="1" applyFont="1" applyBorder="1"/>
    <xf numFmtId="166" fontId="3" fillId="0" borderId="0" xfId="0" applyNumberFormat="1" applyFont="1"/>
    <xf numFmtId="9" fontId="5" fillId="0" borderId="0" xfId="0" applyNumberFormat="1" applyFont="1"/>
    <xf numFmtId="0" fontId="6" fillId="0" borderId="0" xfId="0" applyFont="1"/>
    <xf numFmtId="168" fontId="6" fillId="0" borderId="0" xfId="0" applyNumberFormat="1" applyFont="1"/>
    <xf numFmtId="9" fontId="7" fillId="0" borderId="0" xfId="0" applyNumberFormat="1" applyFont="1"/>
    <xf numFmtId="0" fontId="0" fillId="0" borderId="3" xfId="0" applyBorder="1"/>
    <xf numFmtId="9" fontId="5" fillId="0" borderId="3" xfId="0" applyNumberFormat="1" applyFont="1" applyBorder="1"/>
    <xf numFmtId="166" fontId="0" fillId="0" borderId="3" xfId="0" applyNumberFormat="1" applyBorder="1"/>
    <xf numFmtId="0" fontId="8" fillId="0" borderId="1" xfId="0" applyFont="1" applyBorder="1"/>
    <xf numFmtId="168" fontId="5" fillId="0" borderId="0" xfId="1" applyNumberFormat="1" applyFont="1"/>
    <xf numFmtId="0" fontId="3" fillId="0" borderId="0" xfId="0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0" fontId="3" fillId="0" borderId="4" xfId="0" applyFont="1" applyBorder="1"/>
    <xf numFmtId="166" fontId="0" fillId="0" borderId="1" xfId="0" applyNumberFormat="1" applyBorder="1"/>
    <xf numFmtId="166" fontId="8" fillId="0" borderId="0" xfId="0" applyNumberFormat="1" applyFont="1"/>
    <xf numFmtId="166" fontId="3" fillId="0" borderId="2" xfId="0" applyNumberFormat="1" applyFont="1" applyBorder="1"/>
    <xf numFmtId="166" fontId="3" fillId="0" borderId="4" xfId="0" applyNumberFormat="1" applyFont="1" applyBorder="1"/>
    <xf numFmtId="169" fontId="0" fillId="0" borderId="0" xfId="0" applyNumberFormat="1"/>
    <xf numFmtId="0" fontId="9" fillId="5" borderId="2" xfId="0" applyFont="1" applyFill="1" applyBorder="1"/>
    <xf numFmtId="167" fontId="9" fillId="5" borderId="2" xfId="0" applyNumberFormat="1" applyFont="1" applyFill="1" applyBorder="1"/>
    <xf numFmtId="171" fontId="6" fillId="0" borderId="0" xfId="0" applyNumberFormat="1" applyFont="1"/>
    <xf numFmtId="0" fontId="9" fillId="4" borderId="0" xfId="0" applyFont="1" applyFill="1" applyAlignment="1">
      <alignment horizontal="centerContinuous"/>
    </xf>
    <xf numFmtId="172" fontId="0" fillId="0" borderId="0" xfId="0" applyNumberFormat="1"/>
    <xf numFmtId="0" fontId="10" fillId="3" borderId="0" xfId="0" applyFont="1" applyFill="1" applyBorder="1" applyAlignment="1">
      <alignment horizontal="centerContinuous" vertical="center"/>
    </xf>
    <xf numFmtId="0" fontId="11" fillId="3" borderId="0" xfId="0" applyFont="1" applyFill="1" applyBorder="1" applyAlignment="1">
      <alignment horizontal="centerContinuous" vertical="center"/>
    </xf>
    <xf numFmtId="0" fontId="12" fillId="0" borderId="0" xfId="0" applyFont="1"/>
    <xf numFmtId="168" fontId="12" fillId="0" borderId="0" xfId="0" applyNumberFormat="1" applyFont="1"/>
    <xf numFmtId="9" fontId="12" fillId="0" borderId="0" xfId="0" applyNumberFormat="1" applyFont="1"/>
    <xf numFmtId="0" fontId="5" fillId="0" borderId="0" xfId="0" applyFont="1"/>
    <xf numFmtId="0" fontId="7" fillId="0" borderId="0" xfId="0" applyFont="1"/>
    <xf numFmtId="172" fontId="6" fillId="0" borderId="0" xfId="0" applyNumberFormat="1" applyFont="1"/>
    <xf numFmtId="173" fontId="3" fillId="0" borderId="0" xfId="0" applyNumberFormat="1" applyFont="1"/>
    <xf numFmtId="166" fontId="0" fillId="0" borderId="0" xfId="0" applyNumberFormat="1" applyFont="1"/>
    <xf numFmtId="172" fontId="3" fillId="0" borderId="2" xfId="0" applyNumberFormat="1" applyFont="1" applyBorder="1"/>
    <xf numFmtId="170" fontId="5" fillId="0" borderId="1" xfId="0" applyNumberFormat="1" applyFont="1" applyBorder="1"/>
    <xf numFmtId="172" fontId="0" fillId="0" borderId="1" xfId="0" applyNumberFormat="1" applyBorder="1"/>
    <xf numFmtId="166" fontId="13" fillId="0" borderId="0" xfId="0" applyNumberFormat="1" applyFont="1"/>
    <xf numFmtId="170" fontId="0" fillId="0" borderId="0" xfId="0" applyNumberFormat="1"/>
    <xf numFmtId="170" fontId="12" fillId="0" borderId="0" xfId="0" applyNumberFormat="1" applyFont="1"/>
    <xf numFmtId="9" fontId="0" fillId="0" borderId="0" xfId="0" applyNumberFormat="1"/>
    <xf numFmtId="171" fontId="5" fillId="0" borderId="0" xfId="0" applyNumberFormat="1" applyFont="1"/>
    <xf numFmtId="169" fontId="3" fillId="0" borderId="2" xfId="0" applyNumberFormat="1" applyFont="1" applyBorder="1"/>
    <xf numFmtId="172" fontId="3" fillId="0" borderId="0" xfId="0" applyNumberFormat="1" applyFont="1" applyFill="1" applyBorder="1"/>
    <xf numFmtId="171" fontId="0" fillId="0" borderId="0" xfId="0" applyNumberFormat="1"/>
    <xf numFmtId="175" fontId="0" fillId="0" borderId="0" xfId="0" applyNumberFormat="1"/>
    <xf numFmtId="177" fontId="0" fillId="0" borderId="0" xfId="0" applyNumberFormat="1"/>
    <xf numFmtId="178" fontId="0" fillId="0" borderId="0" xfId="0" applyNumberFormat="1"/>
    <xf numFmtId="172" fontId="3" fillId="0" borderId="0" xfId="0" applyNumberFormat="1" applyFont="1"/>
    <xf numFmtId="0" fontId="0" fillId="6" borderId="0" xfId="0" applyFill="1"/>
    <xf numFmtId="172" fontId="3" fillId="6" borderId="5" xfId="0" applyNumberFormat="1" applyFont="1" applyFill="1" applyBorder="1"/>
    <xf numFmtId="177" fontId="12" fillId="0" borderId="0" xfId="0" applyNumberFormat="1" applyFont="1"/>
    <xf numFmtId="171" fontId="12" fillId="0" borderId="0" xfId="0" applyNumberFormat="1" applyFont="1"/>
    <xf numFmtId="171" fontId="0" fillId="0" borderId="3" xfId="0" applyNumberFormat="1" applyBorder="1"/>
    <xf numFmtId="0" fontId="16" fillId="0" borderId="0" xfId="0" applyFont="1"/>
    <xf numFmtId="9" fontId="16" fillId="0" borderId="0" xfId="0" applyNumberFormat="1" applyFont="1"/>
    <xf numFmtId="167" fontId="10" fillId="3" borderId="0" xfId="0" applyNumberFormat="1" applyFont="1" applyFill="1" applyBorder="1" applyAlignment="1">
      <alignment horizontal="centerContinuous" vertical="center"/>
    </xf>
    <xf numFmtId="0" fontId="0" fillId="0" borderId="0" xfId="0" applyBorder="1"/>
    <xf numFmtId="177" fontId="16" fillId="0" borderId="0" xfId="0" applyNumberFormat="1" applyFont="1"/>
    <xf numFmtId="170" fontId="16" fillId="0" borderId="0" xfId="0" applyNumberFormat="1" applyFont="1"/>
    <xf numFmtId="164" fontId="3" fillId="0" borderId="1" xfId="0" applyNumberFormat="1" applyFont="1" applyBorder="1" applyAlignment="1">
      <alignment horizontal="right"/>
    </xf>
    <xf numFmtId="0" fontId="8" fillId="0" borderId="0" xfId="0" applyFont="1" applyBorder="1"/>
    <xf numFmtId="169" fontId="3" fillId="0" borderId="4" xfId="0" applyNumberFormat="1" applyFont="1" applyBorder="1"/>
    <xf numFmtId="169" fontId="0" fillId="0" borderId="0" xfId="0" applyNumberFormat="1" applyFont="1"/>
    <xf numFmtId="169" fontId="0" fillId="0" borderId="1" xfId="0" applyNumberFormat="1" applyBorder="1"/>
    <xf numFmtId="169" fontId="13" fillId="0" borderId="0" xfId="0" applyNumberFormat="1" applyFont="1"/>
    <xf numFmtId="169" fontId="0" fillId="0" borderId="3" xfId="0" applyNumberFormat="1" applyBorder="1"/>
    <xf numFmtId="169" fontId="3" fillId="0" borderId="0" xfId="0" applyNumberFormat="1" applyFont="1"/>
    <xf numFmtId="170" fontId="16" fillId="0" borderId="1" xfId="0" applyNumberFormat="1" applyFont="1" applyBorder="1"/>
    <xf numFmtId="0" fontId="17" fillId="0" borderId="0" xfId="0" applyFont="1"/>
    <xf numFmtId="0" fontId="18" fillId="3" borderId="0" xfId="0" applyFont="1" applyFill="1" applyBorder="1" applyAlignment="1">
      <alignment horizontal="centerContinuous" vertical="center"/>
    </xf>
    <xf numFmtId="0" fontId="17" fillId="0" borderId="1" xfId="0" applyFont="1" applyBorder="1"/>
    <xf numFmtId="0" fontId="17" fillId="0" borderId="0" xfId="0" applyFont="1" applyBorder="1"/>
    <xf numFmtId="171" fontId="16" fillId="0" borderId="0" xfId="0" applyNumberFormat="1" applyFont="1"/>
    <xf numFmtId="0" fontId="0" fillId="0" borderId="0" xfId="0" quotePrefix="1"/>
    <xf numFmtId="9" fontId="19" fillId="0" borderId="0" xfId="0" applyNumberFormat="1" applyFont="1"/>
    <xf numFmtId="0" fontId="0" fillId="0" borderId="6" xfId="0" applyBorder="1"/>
    <xf numFmtId="0" fontId="0" fillId="0" borderId="7" xfId="0" applyBorder="1"/>
    <xf numFmtId="171" fontId="0" fillId="0" borderId="8" xfId="0" applyNumberFormat="1" applyBorder="1"/>
    <xf numFmtId="167" fontId="0" fillId="0" borderId="0" xfId="0" applyNumberFormat="1" applyBorder="1"/>
    <xf numFmtId="9" fontId="5" fillId="0" borderId="0" xfId="0" applyNumberFormat="1" applyFont="1" applyBorder="1"/>
    <xf numFmtId="9" fontId="20" fillId="0" borderId="1" xfId="0" applyNumberFormat="1" applyFont="1" applyBorder="1"/>
    <xf numFmtId="172" fontId="0" fillId="6" borderId="0" xfId="0" applyNumberFormat="1" applyFill="1"/>
  </cellXfs>
  <cellStyles count="2">
    <cellStyle name="Normal" xfId="0" builtinId="0"/>
    <cellStyle name="Percent" xfId="1" builtinId="5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anaccord">
      <a:dk1>
        <a:srgbClr val="3F3F3F"/>
      </a:dk1>
      <a:lt1>
        <a:srgbClr val="FFFFFF"/>
      </a:lt1>
      <a:dk2>
        <a:srgbClr val="ECEDEE"/>
      </a:dk2>
      <a:lt2>
        <a:srgbClr val="8EAC2A"/>
      </a:lt2>
      <a:accent1>
        <a:srgbClr val="003366"/>
      </a:accent1>
      <a:accent2>
        <a:srgbClr val="91A2B9"/>
      </a:accent2>
      <a:accent3>
        <a:srgbClr val="615F5E"/>
      </a:accent3>
      <a:accent4>
        <a:srgbClr val="CDE1EA"/>
      </a:accent4>
      <a:accent5>
        <a:srgbClr val="B0A3BF"/>
      </a:accent5>
      <a:accent6>
        <a:srgbClr val="055093"/>
      </a:accent6>
      <a:hlink>
        <a:srgbClr val="D1E4EB"/>
      </a:hlink>
      <a:folHlink>
        <a:srgbClr val="0055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H20"/>
  <sheetViews>
    <sheetView zoomScale="130" zoomScaleNormal="130" workbookViewId="0">
      <selection activeCell="D19" sqref="D19:D20"/>
    </sheetView>
  </sheetViews>
  <sheetFormatPr defaultRowHeight="15" x14ac:dyDescent="0.25"/>
  <cols>
    <col min="2" max="2" width="23.5703125" bestFit="1" customWidth="1"/>
    <col min="6" max="6" width="21.28515625" customWidth="1"/>
  </cols>
  <sheetData>
    <row r="2" spans="2:8" ht="24.95" customHeight="1" x14ac:dyDescent="0.25">
      <c r="B2" s="40" t="s">
        <v>11</v>
      </c>
      <c r="C2" s="39"/>
      <c r="D2" s="39"/>
      <c r="F2" s="40" t="s">
        <v>84</v>
      </c>
      <c r="G2" s="39"/>
      <c r="H2" s="39"/>
    </row>
    <row r="3" spans="2:8" x14ac:dyDescent="0.25">
      <c r="B3" t="s">
        <v>12</v>
      </c>
      <c r="D3" s="43">
        <v>0.15</v>
      </c>
      <c r="F3" t="s">
        <v>85</v>
      </c>
      <c r="H3" s="43">
        <v>0.1</v>
      </c>
    </row>
    <row r="4" spans="2:8" x14ac:dyDescent="0.25">
      <c r="B4" t="s">
        <v>3</v>
      </c>
      <c r="D4" s="43">
        <v>0.48</v>
      </c>
      <c r="F4" t="s">
        <v>86</v>
      </c>
      <c r="H4" s="54">
        <v>0.02</v>
      </c>
    </row>
    <row r="5" spans="2:8" x14ac:dyDescent="0.25">
      <c r="B5" t="s">
        <v>14</v>
      </c>
      <c r="D5" s="43">
        <v>0.2</v>
      </c>
    </row>
    <row r="6" spans="2:8" ht="17.25" x14ac:dyDescent="0.25">
      <c r="B6" t="s">
        <v>59</v>
      </c>
      <c r="D6" s="43">
        <v>0.15</v>
      </c>
      <c r="F6" s="40" t="s">
        <v>92</v>
      </c>
      <c r="G6" s="39"/>
      <c r="H6" s="39"/>
    </row>
    <row r="7" spans="2:8" x14ac:dyDescent="0.25">
      <c r="B7" t="s">
        <v>17</v>
      </c>
      <c r="D7" s="43">
        <v>0.28999999999999998</v>
      </c>
      <c r="F7" t="s">
        <v>96</v>
      </c>
      <c r="H7" s="66">
        <v>2.5</v>
      </c>
    </row>
    <row r="8" spans="2:8" ht="24.95" customHeight="1" x14ac:dyDescent="0.25">
      <c r="B8" s="40" t="s">
        <v>18</v>
      </c>
      <c r="C8" s="39"/>
      <c r="D8" s="39"/>
      <c r="F8" t="s">
        <v>98</v>
      </c>
      <c r="H8" s="67">
        <v>0.05</v>
      </c>
    </row>
    <row r="9" spans="2:8" x14ac:dyDescent="0.25">
      <c r="B9" t="s">
        <v>21</v>
      </c>
      <c r="D9" s="42">
        <v>3.5000000000000003E-2</v>
      </c>
      <c r="F9" t="s">
        <v>125</v>
      </c>
      <c r="H9" s="41">
        <v>8</v>
      </c>
    </row>
    <row r="10" spans="2:8" x14ac:dyDescent="0.25">
      <c r="B10" t="s">
        <v>70</v>
      </c>
      <c r="D10" s="42">
        <v>0.2</v>
      </c>
      <c r="F10" t="s">
        <v>97</v>
      </c>
      <c r="H10" s="66">
        <v>1</v>
      </c>
    </row>
    <row r="11" spans="2:8" ht="24.95" customHeight="1" x14ac:dyDescent="0.25">
      <c r="B11" s="40" t="s">
        <v>60</v>
      </c>
      <c r="C11" s="39"/>
      <c r="D11" s="39"/>
      <c r="F11" t="s">
        <v>99</v>
      </c>
      <c r="H11" s="67">
        <v>0.12</v>
      </c>
    </row>
    <row r="12" spans="2:8" x14ac:dyDescent="0.25">
      <c r="B12" t="s">
        <v>63</v>
      </c>
      <c r="D12" s="41">
        <v>30</v>
      </c>
      <c r="F12" t="s">
        <v>100</v>
      </c>
      <c r="H12" s="41">
        <v>1</v>
      </c>
    </row>
    <row r="13" spans="2:8" x14ac:dyDescent="0.25">
      <c r="B13" t="s">
        <v>62</v>
      </c>
      <c r="D13" s="41">
        <v>90</v>
      </c>
      <c r="H13" s="41"/>
    </row>
    <row r="14" spans="2:8" x14ac:dyDescent="0.25">
      <c r="B14" t="s">
        <v>61</v>
      </c>
      <c r="D14" s="41">
        <v>60</v>
      </c>
      <c r="F14" t="s">
        <v>101</v>
      </c>
      <c r="H14" s="43">
        <v>0.6</v>
      </c>
    </row>
    <row r="15" spans="2:8" ht="17.25" x14ac:dyDescent="0.25">
      <c r="B15" s="40" t="s">
        <v>76</v>
      </c>
      <c r="C15" s="39"/>
      <c r="D15" s="39"/>
    </row>
    <row r="16" spans="2:8" x14ac:dyDescent="0.25">
      <c r="B16" t="s">
        <v>78</v>
      </c>
      <c r="D16" s="43">
        <v>0.2</v>
      </c>
      <c r="F16" t="s">
        <v>102</v>
      </c>
      <c r="H16" s="41">
        <v>4</v>
      </c>
    </row>
    <row r="17" spans="2:8" x14ac:dyDescent="0.25">
      <c r="B17" t="s">
        <v>8</v>
      </c>
      <c r="D17" s="54">
        <v>0.04</v>
      </c>
      <c r="F17" t="s">
        <v>121</v>
      </c>
      <c r="H17" s="43">
        <v>0.02</v>
      </c>
    </row>
    <row r="19" spans="2:8" x14ac:dyDescent="0.25">
      <c r="B19" t="s">
        <v>138</v>
      </c>
      <c r="D19" s="43">
        <v>0.01</v>
      </c>
      <c r="F19" t="s">
        <v>122</v>
      </c>
      <c r="H19" s="43">
        <v>0.25</v>
      </c>
    </row>
    <row r="20" spans="2:8" x14ac:dyDescent="0.25">
      <c r="B20" t="s">
        <v>139</v>
      </c>
      <c r="D20" s="43">
        <v>0.05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M127"/>
  <sheetViews>
    <sheetView zoomScaleNormal="100" workbookViewId="0">
      <selection activeCell="J27" sqref="J27"/>
    </sheetView>
  </sheetViews>
  <sheetFormatPr defaultRowHeight="15" x14ac:dyDescent="0.25"/>
  <cols>
    <col min="2" max="2" width="19.28515625" bestFit="1" customWidth="1"/>
    <col min="7" max="7" width="10" customWidth="1"/>
  </cols>
  <sheetData>
    <row r="2" spans="2:12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x14ac:dyDescent="0.25">
      <c r="B3" s="23" t="s">
        <v>20</v>
      </c>
      <c r="C3" s="4"/>
      <c r="D3" s="4"/>
      <c r="E3" s="5">
        <v>2013</v>
      </c>
      <c r="F3" s="5">
        <v>2014</v>
      </c>
      <c r="G3" s="6">
        <f t="shared" ref="G3:K3" si="0">+F3+1</f>
        <v>2015</v>
      </c>
      <c r="H3" s="6">
        <f t="shared" si="0"/>
        <v>2016</v>
      </c>
      <c r="I3" s="6">
        <f t="shared" si="0"/>
        <v>2017</v>
      </c>
      <c r="J3" s="6">
        <f t="shared" si="0"/>
        <v>2018</v>
      </c>
      <c r="K3" s="6">
        <f t="shared" si="0"/>
        <v>2019</v>
      </c>
      <c r="L3" s="6" t="s">
        <v>10</v>
      </c>
    </row>
    <row r="4" spans="2:12" x14ac:dyDescent="0.25">
      <c r="B4" s="3" t="str">
        <f>+'Raw data'!C4</f>
        <v>Sales</v>
      </c>
      <c r="C4" s="16">
        <f>+Assumptions!D3</f>
        <v>0.15</v>
      </c>
      <c r="D4" s="3"/>
      <c r="E4" s="10">
        <f>+'Raw data'!E4</f>
        <v>100</v>
      </c>
      <c r="F4" s="10">
        <f>+'Raw data'!F4</f>
        <v>120</v>
      </c>
      <c r="G4" s="10">
        <f>+F4*(1+$C$4)</f>
        <v>138</v>
      </c>
      <c r="H4" s="10">
        <f>+G4*(1+$C$4)</f>
        <v>158.69999999999999</v>
      </c>
      <c r="I4" s="10">
        <f>+H4*(1+$C$4)</f>
        <v>182.50499999999997</v>
      </c>
      <c r="J4" s="10">
        <f>+I4*(1+$C$4)</f>
        <v>209.88074999999995</v>
      </c>
      <c r="K4" s="10">
        <f>+J4*(1+$C$4)</f>
        <v>241.36286249999992</v>
      </c>
      <c r="L4" s="36">
        <f>+(K4/F4)^(1/5)-1</f>
        <v>0.14999999999999991</v>
      </c>
    </row>
    <row r="5" spans="2:12" x14ac:dyDescent="0.25">
      <c r="B5" t="str">
        <f>+'Raw data'!C5</f>
        <v>COGS</v>
      </c>
      <c r="E5" s="9">
        <f>+'Raw data'!E5</f>
        <v>-50</v>
      </c>
      <c r="F5" s="9">
        <f>+'Raw data'!F5</f>
        <v>-65</v>
      </c>
      <c r="G5" s="9">
        <f t="shared" ref="G5:K5" si="1">+G6-G4</f>
        <v>-71.760000000000005</v>
      </c>
      <c r="H5" s="9">
        <f t="shared" si="1"/>
        <v>-82.524000000000001</v>
      </c>
      <c r="I5" s="9">
        <f t="shared" si="1"/>
        <v>-94.902599999999993</v>
      </c>
      <c r="J5" s="9">
        <f t="shared" si="1"/>
        <v>-109.13798999999997</v>
      </c>
      <c r="K5" s="9">
        <f t="shared" si="1"/>
        <v>-125.50868849999996</v>
      </c>
      <c r="L5" s="36">
        <f t="shared" ref="L5:L10" si="2">+(K5/F5)^(1/5)-1</f>
        <v>0.14064916517495107</v>
      </c>
    </row>
    <row r="6" spans="2:12" x14ac:dyDescent="0.25">
      <c r="B6" s="3" t="s">
        <v>13</v>
      </c>
      <c r="E6" s="10">
        <f>+'Raw data'!E6</f>
        <v>50</v>
      </c>
      <c r="F6" s="10">
        <f>+'Raw data'!F6</f>
        <v>55</v>
      </c>
      <c r="G6" s="10">
        <f t="shared" ref="G6:K6" si="3">+G7*G4</f>
        <v>66.239999999999995</v>
      </c>
      <c r="H6" s="10">
        <f t="shared" si="3"/>
        <v>76.175999999999988</v>
      </c>
      <c r="I6" s="10">
        <f t="shared" si="3"/>
        <v>87.602399999999975</v>
      </c>
      <c r="J6" s="10">
        <f t="shared" si="3"/>
        <v>100.74275999999998</v>
      </c>
      <c r="K6" s="10">
        <f t="shared" si="3"/>
        <v>115.85417399999996</v>
      </c>
      <c r="L6" s="36">
        <f t="shared" si="2"/>
        <v>0.16067277897528442</v>
      </c>
    </row>
    <row r="7" spans="2:12" x14ac:dyDescent="0.25">
      <c r="B7" s="17" t="s">
        <v>3</v>
      </c>
      <c r="C7" s="19">
        <f>+Assumptions!D4</f>
        <v>0.48</v>
      </c>
      <c r="E7" s="18">
        <f t="shared" ref="E7:F7" si="4">+E6/E4</f>
        <v>0.5</v>
      </c>
      <c r="F7" s="18">
        <f t="shared" si="4"/>
        <v>0.45833333333333331</v>
      </c>
      <c r="G7" s="18">
        <f t="shared" ref="G7:K7" si="5">+$C$7</f>
        <v>0.48</v>
      </c>
      <c r="H7" s="18">
        <f t="shared" si="5"/>
        <v>0.48</v>
      </c>
      <c r="I7" s="18">
        <f t="shared" si="5"/>
        <v>0.48</v>
      </c>
      <c r="J7" s="18">
        <f t="shared" si="5"/>
        <v>0.48</v>
      </c>
      <c r="K7" s="18">
        <f t="shared" si="5"/>
        <v>0.48</v>
      </c>
      <c r="L7" s="36"/>
    </row>
    <row r="8" spans="2:12" x14ac:dyDescent="0.25">
      <c r="B8" t="str">
        <f>+'Raw data'!C7</f>
        <v>S&amp;M</v>
      </c>
      <c r="C8" s="16">
        <f>+Assumptions!D5</f>
        <v>0.2</v>
      </c>
      <c r="E8" s="9">
        <f>+'Raw data'!E7</f>
        <v>-20</v>
      </c>
      <c r="F8" s="9">
        <f>+'Raw data'!F7</f>
        <v>-22</v>
      </c>
      <c r="G8" s="9">
        <f t="shared" ref="G8:K9" si="6">-$C8*G$4</f>
        <v>-27.6</v>
      </c>
      <c r="H8" s="9">
        <f t="shared" si="6"/>
        <v>-31.74</v>
      </c>
      <c r="I8" s="9">
        <f t="shared" si="6"/>
        <v>-36.500999999999998</v>
      </c>
      <c r="J8" s="9">
        <f t="shared" si="6"/>
        <v>-41.97614999999999</v>
      </c>
      <c r="K8" s="9">
        <f t="shared" si="6"/>
        <v>-48.272572499999988</v>
      </c>
      <c r="L8" s="36">
        <f t="shared" si="2"/>
        <v>0.17018776375192557</v>
      </c>
    </row>
    <row r="9" spans="2:12" x14ac:dyDescent="0.25">
      <c r="B9" s="11" t="str">
        <f>+'Raw data'!C8</f>
        <v>Opex</v>
      </c>
      <c r="C9" s="16">
        <f>+Assumptions!D6</f>
        <v>0.15</v>
      </c>
      <c r="D9" s="11"/>
      <c r="E9" s="12">
        <f>+'Raw data'!E8</f>
        <v>-20</v>
      </c>
      <c r="F9" s="12">
        <f>+'Raw data'!F8</f>
        <v>-21</v>
      </c>
      <c r="G9" s="12">
        <f>-$C9*G$4</f>
        <v>-20.7</v>
      </c>
      <c r="H9" s="12">
        <f>-$C9*H$4</f>
        <v>-23.804999999999996</v>
      </c>
      <c r="I9" s="12">
        <f t="shared" si="6"/>
        <v>-27.375749999999993</v>
      </c>
      <c r="J9" s="12">
        <f t="shared" si="6"/>
        <v>-31.482112499999992</v>
      </c>
      <c r="K9" s="12">
        <f t="shared" si="6"/>
        <v>-36.204429374999989</v>
      </c>
      <c r="L9" s="36">
        <f t="shared" si="2"/>
        <v>0.11508630600991587</v>
      </c>
    </row>
    <row r="10" spans="2:12" x14ac:dyDescent="0.25">
      <c r="B10" s="13" t="str">
        <f>+'Raw data'!C9</f>
        <v>EBITDA</v>
      </c>
      <c r="C10" s="13"/>
      <c r="D10" s="13"/>
      <c r="E10" s="14">
        <f>+'Raw data'!E9</f>
        <v>10</v>
      </c>
      <c r="F10" s="14">
        <f>+'Raw data'!F9</f>
        <v>12</v>
      </c>
      <c r="G10" s="14">
        <f>+G6+G8+G9</f>
        <v>17.939999999999994</v>
      </c>
      <c r="H10" s="14">
        <f>+H6+H8+H9</f>
        <v>20.630999999999997</v>
      </c>
      <c r="I10" s="14">
        <f t="shared" ref="I10:K10" si="7">+I6+I8+I9</f>
        <v>23.725649999999984</v>
      </c>
      <c r="J10" s="14">
        <f t="shared" si="7"/>
        <v>27.284497499999993</v>
      </c>
      <c r="K10" s="14">
        <f t="shared" si="7"/>
        <v>31.377172124999987</v>
      </c>
      <c r="L10" s="36">
        <f t="shared" si="2"/>
        <v>0.21195504487105077</v>
      </c>
    </row>
    <row r="11" spans="2:12" x14ac:dyDescent="0.25">
      <c r="B11" t="s">
        <v>7</v>
      </c>
      <c r="G11" s="38">
        <f>+G97</f>
        <v>-5</v>
      </c>
      <c r="H11" s="38">
        <f t="shared" ref="H11:K11" si="8">+H97</f>
        <v>-4.9660000000000002</v>
      </c>
      <c r="I11" s="38">
        <f t="shared" si="8"/>
        <v>-5.0837000000000003</v>
      </c>
      <c r="J11" s="38">
        <f t="shared" si="8"/>
        <v>-5.3444949999999993</v>
      </c>
      <c r="K11" s="38">
        <f t="shared" si="8"/>
        <v>-5.7447612499999998</v>
      </c>
    </row>
    <row r="12" spans="2:12" x14ac:dyDescent="0.25">
      <c r="B12" s="11" t="s">
        <v>8</v>
      </c>
      <c r="C12" s="11"/>
      <c r="D12" s="11"/>
      <c r="E12" s="11"/>
      <c r="F12" s="11"/>
      <c r="G12" s="51">
        <f>+G107</f>
        <v>-1</v>
      </c>
      <c r="H12" s="51">
        <f t="shared" ref="H12:K12" si="9">+H107</f>
        <v>-0.8</v>
      </c>
      <c r="I12" s="51">
        <f t="shared" si="9"/>
        <v>-0.6</v>
      </c>
      <c r="J12" s="51">
        <f t="shared" si="9"/>
        <v>-0.4</v>
      </c>
      <c r="K12" s="51">
        <f t="shared" si="9"/>
        <v>-0.2</v>
      </c>
    </row>
    <row r="13" spans="2:12" x14ac:dyDescent="0.25">
      <c r="B13" t="s">
        <v>15</v>
      </c>
      <c r="E13" s="9">
        <f>+E10+E11+E12</f>
        <v>10</v>
      </c>
      <c r="F13" s="9">
        <f t="shared" ref="F13:K13" si="10">+F10+F11+F12</f>
        <v>12</v>
      </c>
      <c r="G13" s="9">
        <f t="shared" si="10"/>
        <v>11.939999999999994</v>
      </c>
      <c r="H13" s="9">
        <f t="shared" si="10"/>
        <v>14.864999999999995</v>
      </c>
      <c r="I13" s="9">
        <f t="shared" si="10"/>
        <v>18.041949999999982</v>
      </c>
      <c r="J13" s="9">
        <f t="shared" si="10"/>
        <v>21.540002499999996</v>
      </c>
      <c r="K13" s="9">
        <f t="shared" si="10"/>
        <v>25.432410874999988</v>
      </c>
      <c r="L13" s="36">
        <f t="shared" ref="L13" si="11">+(K13/F13)^(1/5)-1</f>
        <v>0.16209399504594635</v>
      </c>
    </row>
    <row r="14" spans="2:12" ht="15.75" thickBot="1" x14ac:dyDescent="0.3">
      <c r="B14" s="20" t="s">
        <v>9</v>
      </c>
      <c r="C14" s="21">
        <f>+Assumptions!D7</f>
        <v>0.28999999999999998</v>
      </c>
      <c r="D14" s="20"/>
      <c r="E14" s="22">
        <f>-$C$14*E13</f>
        <v>-2.9</v>
      </c>
      <c r="F14" s="22">
        <f t="shared" ref="F14:K14" si="12">-$C$14*F13</f>
        <v>-3.4799999999999995</v>
      </c>
      <c r="G14" s="22">
        <f t="shared" si="12"/>
        <v>-3.4625999999999979</v>
      </c>
      <c r="H14" s="22">
        <f t="shared" si="12"/>
        <v>-4.3108499999999985</v>
      </c>
      <c r="I14" s="22">
        <f t="shared" si="12"/>
        <v>-5.2321654999999945</v>
      </c>
      <c r="J14" s="22">
        <f t="shared" si="12"/>
        <v>-6.2466007249999986</v>
      </c>
      <c r="K14" s="22">
        <f t="shared" si="12"/>
        <v>-7.3753991537499957</v>
      </c>
    </row>
    <row r="15" spans="2:12" ht="15.75" thickTop="1" x14ac:dyDescent="0.25">
      <c r="B15" s="3" t="s">
        <v>16</v>
      </c>
      <c r="C15" s="3"/>
      <c r="D15" s="3"/>
      <c r="E15" s="10">
        <f>+E13+E14</f>
        <v>7.1</v>
      </c>
      <c r="F15" s="10">
        <f t="shared" ref="F15:K15" si="13">+F13+F14</f>
        <v>8.52</v>
      </c>
      <c r="G15" s="10">
        <f t="shared" si="13"/>
        <v>8.4773999999999958</v>
      </c>
      <c r="H15" s="10">
        <f t="shared" si="13"/>
        <v>10.554149999999996</v>
      </c>
      <c r="I15" s="10">
        <f t="shared" si="13"/>
        <v>12.809784499999989</v>
      </c>
      <c r="J15" s="10">
        <f t="shared" si="13"/>
        <v>15.293401774999998</v>
      </c>
      <c r="K15" s="10">
        <f t="shared" si="13"/>
        <v>18.057011721249992</v>
      </c>
      <c r="L15" s="36">
        <f t="shared" ref="L15" si="14">+(K15/F15)^(1/5)-1</f>
        <v>0.16209399504594635</v>
      </c>
    </row>
    <row r="18" spans="2:12" x14ac:dyDescent="0.25">
      <c r="B18" s="2" t="s">
        <v>18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25">
      <c r="B19" s="4" t="str">
        <f>+B3</f>
        <v>C$ - MM</v>
      </c>
      <c r="C19" s="4"/>
      <c r="D19" s="4"/>
      <c r="E19" s="5">
        <v>2013</v>
      </c>
      <c r="F19" s="5">
        <v>2014</v>
      </c>
      <c r="G19" s="6">
        <f t="shared" ref="G19:K19" si="15">+F19+1</f>
        <v>2015</v>
      </c>
      <c r="H19" s="6">
        <f t="shared" si="15"/>
        <v>2016</v>
      </c>
      <c r="I19" s="6">
        <f t="shared" si="15"/>
        <v>2017</v>
      </c>
      <c r="J19" s="6">
        <f t="shared" si="15"/>
        <v>2018</v>
      </c>
      <c r="K19" s="6">
        <f t="shared" si="15"/>
        <v>2019</v>
      </c>
      <c r="L19" s="6" t="s">
        <v>10</v>
      </c>
    </row>
    <row r="20" spans="2:12" x14ac:dyDescent="0.25">
      <c r="B20" t="s">
        <v>19</v>
      </c>
      <c r="E20" s="9">
        <v>-3</v>
      </c>
      <c r="F20" s="9">
        <v>-4</v>
      </c>
      <c r="G20" s="9">
        <f>-G21*G4</f>
        <v>-4.83</v>
      </c>
      <c r="H20" s="9">
        <f t="shared" ref="H20:K20" si="16">-H21*H4</f>
        <v>-5.5545</v>
      </c>
      <c r="I20" s="9">
        <f t="shared" si="16"/>
        <v>-6.3876749999999998</v>
      </c>
      <c r="J20" s="9">
        <f t="shared" si="16"/>
        <v>-7.3458262499999991</v>
      </c>
      <c r="K20" s="9">
        <f t="shared" si="16"/>
        <v>-8.4477001874999988</v>
      </c>
      <c r="L20" s="36">
        <f t="shared" ref="L20" si="17">+(K20/F20)^(1/5)-1</f>
        <v>0.16127666732450807</v>
      </c>
    </row>
    <row r="21" spans="2:12" x14ac:dyDescent="0.25">
      <c r="B21" t="s">
        <v>22</v>
      </c>
      <c r="C21" s="24">
        <f>+Assumptions!D9</f>
        <v>3.5000000000000003E-2</v>
      </c>
      <c r="E21" s="18">
        <f t="shared" ref="E21:F21" si="18">-E20/E4</f>
        <v>0.03</v>
      </c>
      <c r="F21" s="18">
        <f t="shared" si="18"/>
        <v>3.3333333333333333E-2</v>
      </c>
      <c r="G21" s="18">
        <f>+$C$21</f>
        <v>3.5000000000000003E-2</v>
      </c>
      <c r="H21" s="18">
        <f t="shared" ref="H21:K21" si="19">+$C$21</f>
        <v>3.5000000000000003E-2</v>
      </c>
      <c r="I21" s="18">
        <f t="shared" si="19"/>
        <v>3.5000000000000003E-2</v>
      </c>
      <c r="J21" s="18">
        <f t="shared" si="19"/>
        <v>3.5000000000000003E-2</v>
      </c>
      <c r="K21" s="18">
        <f t="shared" si="19"/>
        <v>3.5000000000000003E-2</v>
      </c>
    </row>
    <row r="24" spans="2:12" x14ac:dyDescent="0.25">
      <c r="B24" s="2" t="s">
        <v>23</v>
      </c>
      <c r="C24" s="2"/>
      <c r="D24" s="2"/>
      <c r="E24" s="2"/>
      <c r="F24" s="2"/>
      <c r="G24" s="2"/>
      <c r="H24" s="2"/>
      <c r="I24" s="2"/>
      <c r="J24" s="2"/>
      <c r="K24" s="2"/>
    </row>
    <row r="25" spans="2:12" x14ac:dyDescent="0.25">
      <c r="B25" s="4" t="str">
        <f>+B19</f>
        <v>C$ - MM</v>
      </c>
      <c r="C25" s="4"/>
      <c r="D25" s="4"/>
      <c r="E25" s="5">
        <v>2013</v>
      </c>
      <c r="F25" s="5">
        <v>2014</v>
      </c>
      <c r="G25" s="6">
        <f t="shared" ref="G25:K25" si="20">+F25+1</f>
        <v>2015</v>
      </c>
      <c r="H25" s="6">
        <f t="shared" si="20"/>
        <v>2016</v>
      </c>
      <c r="I25" s="6">
        <f t="shared" si="20"/>
        <v>2017</v>
      </c>
      <c r="J25" s="6">
        <f t="shared" si="20"/>
        <v>2018</v>
      </c>
      <c r="K25" s="6">
        <f t="shared" si="20"/>
        <v>2019</v>
      </c>
    </row>
    <row r="26" spans="2:12" x14ac:dyDescent="0.25">
      <c r="B26" s="25" t="s">
        <v>32</v>
      </c>
      <c r="C26" s="25"/>
      <c r="D26" s="25"/>
      <c r="E26" s="26"/>
      <c r="F26" s="26"/>
      <c r="G26" s="27"/>
      <c r="H26" s="27"/>
      <c r="I26" s="27"/>
      <c r="J26" s="27"/>
      <c r="K26" s="27"/>
    </row>
    <row r="27" spans="2:12" x14ac:dyDescent="0.25">
      <c r="B27" t="s">
        <v>24</v>
      </c>
      <c r="E27" s="9"/>
      <c r="F27" s="8">
        <v>20</v>
      </c>
      <c r="G27" s="7">
        <f>+G67</f>
        <v>20.073701369863016</v>
      </c>
      <c r="H27" s="7">
        <f t="shared" ref="H27:K27" si="21">+H67</f>
        <v>20.003296575342461</v>
      </c>
      <c r="I27" s="7">
        <f t="shared" si="21"/>
        <v>20.717643061643841</v>
      </c>
      <c r="J27" s="7">
        <f t="shared" si="21"/>
        <v>22.349531120890404</v>
      </c>
      <c r="K27" s="7">
        <f t="shared" si="21"/>
        <v>25.044394069023973</v>
      </c>
    </row>
    <row r="28" spans="2:12" x14ac:dyDescent="0.25">
      <c r="B28" t="s">
        <v>25</v>
      </c>
      <c r="C28" s="24"/>
      <c r="E28" s="18"/>
      <c r="F28" s="8">
        <v>10</v>
      </c>
      <c r="G28" s="48">
        <f>+G78</f>
        <v>11.342465753424657</v>
      </c>
      <c r="H28" s="48">
        <f t="shared" ref="H28:K28" si="22">+H78</f>
        <v>13.043835616438356</v>
      </c>
      <c r="I28" s="48">
        <f t="shared" si="22"/>
        <v>15.000410958904107</v>
      </c>
      <c r="J28" s="48">
        <f t="shared" si="22"/>
        <v>17.250472602739723</v>
      </c>
      <c r="K28" s="48">
        <f t="shared" si="22"/>
        <v>19.838043493150678</v>
      </c>
    </row>
    <row r="29" spans="2:12" x14ac:dyDescent="0.25">
      <c r="B29" t="s">
        <v>26</v>
      </c>
      <c r="F29" s="8">
        <v>30</v>
      </c>
      <c r="G29" s="7">
        <f>+G81</f>
        <v>34.027397260273972</v>
      </c>
      <c r="H29" s="7">
        <f t="shared" ref="H29:K29" si="23">+H81</f>
        <v>39.131506849315066</v>
      </c>
      <c r="I29" s="7">
        <f t="shared" si="23"/>
        <v>45.001232876712322</v>
      </c>
      <c r="J29" s="7">
        <f t="shared" si="23"/>
        <v>51.751417808219166</v>
      </c>
      <c r="K29" s="7">
        <f t="shared" si="23"/>
        <v>59.514130479452035</v>
      </c>
    </row>
    <row r="30" spans="2:12" x14ac:dyDescent="0.25">
      <c r="B30" s="11" t="s">
        <v>27</v>
      </c>
      <c r="C30" s="11"/>
      <c r="D30" s="11"/>
      <c r="E30" s="11"/>
      <c r="F30" s="29">
        <v>5</v>
      </c>
      <c r="G30" s="29">
        <f>+G84</f>
        <v>5</v>
      </c>
      <c r="H30" s="29">
        <f t="shared" ref="H30:K30" si="24">+H84</f>
        <v>5</v>
      </c>
      <c r="I30" s="29">
        <f t="shared" si="24"/>
        <v>5</v>
      </c>
      <c r="J30" s="29">
        <f t="shared" si="24"/>
        <v>5</v>
      </c>
      <c r="K30" s="29">
        <f t="shared" si="24"/>
        <v>5</v>
      </c>
    </row>
    <row r="31" spans="2:12" x14ac:dyDescent="0.25">
      <c r="B31" s="3" t="s">
        <v>28</v>
      </c>
      <c r="C31" s="3"/>
      <c r="D31" s="3"/>
      <c r="E31" s="3"/>
      <c r="F31" s="30">
        <f>SUM(F27:F30)</f>
        <v>65</v>
      </c>
      <c r="G31" s="52">
        <f t="shared" ref="G31:K31" si="25">SUM(G27:G30)</f>
        <v>70.443564383561636</v>
      </c>
      <c r="H31" s="52">
        <f t="shared" si="25"/>
        <v>77.178639041095892</v>
      </c>
      <c r="I31" s="52">
        <f t="shared" si="25"/>
        <v>85.719286897260275</v>
      </c>
      <c r="J31" s="52">
        <f t="shared" si="25"/>
        <v>96.351421531849297</v>
      </c>
      <c r="K31" s="52">
        <f t="shared" si="25"/>
        <v>109.39656804162669</v>
      </c>
    </row>
    <row r="32" spans="2:12" x14ac:dyDescent="0.25">
      <c r="B32" t="s">
        <v>29</v>
      </c>
      <c r="F32" s="8">
        <v>25</v>
      </c>
      <c r="G32" s="7">
        <f>+G98</f>
        <v>24.83</v>
      </c>
      <c r="H32" s="7">
        <f t="shared" ref="H32:K32" si="26">+H98</f>
        <v>25.418499999999998</v>
      </c>
      <c r="I32" s="7">
        <f t="shared" si="26"/>
        <v>26.722474999999996</v>
      </c>
      <c r="J32" s="7">
        <f t="shared" si="26"/>
        <v>28.723806249999999</v>
      </c>
      <c r="K32" s="7">
        <f t="shared" si="26"/>
        <v>31.4267451875</v>
      </c>
    </row>
    <row r="33" spans="2:11" ht="15.75" thickBot="1" x14ac:dyDescent="0.3">
      <c r="B33" s="20" t="s">
        <v>30</v>
      </c>
      <c r="C33" s="20"/>
      <c r="D33" s="20"/>
      <c r="E33" s="20"/>
      <c r="F33" s="22">
        <v>0</v>
      </c>
      <c r="G33" s="22">
        <f>+F33</f>
        <v>0</v>
      </c>
      <c r="H33" s="22">
        <f t="shared" ref="H33:K33" si="27">+G33</f>
        <v>0</v>
      </c>
      <c r="I33" s="22">
        <f t="shared" si="27"/>
        <v>0</v>
      </c>
      <c r="J33" s="22">
        <f t="shared" si="27"/>
        <v>0</v>
      </c>
      <c r="K33" s="22">
        <f t="shared" si="27"/>
        <v>0</v>
      </c>
    </row>
    <row r="34" spans="2:11" ht="15.75" thickTop="1" x14ac:dyDescent="0.25">
      <c r="B34" s="3" t="s">
        <v>31</v>
      </c>
      <c r="C34" s="3"/>
      <c r="D34" s="3"/>
      <c r="E34" s="3"/>
      <c r="F34" s="15">
        <f>+F31+F32+F33</f>
        <v>90</v>
      </c>
      <c r="G34" s="15">
        <f t="shared" ref="G34:K34" si="28">+G31+G32+G33</f>
        <v>95.273564383561634</v>
      </c>
      <c r="H34" s="15">
        <f t="shared" si="28"/>
        <v>102.59713904109589</v>
      </c>
      <c r="I34" s="15">
        <f t="shared" si="28"/>
        <v>112.44176189726028</v>
      </c>
      <c r="J34" s="15">
        <f t="shared" si="28"/>
        <v>125.07522778184929</v>
      </c>
      <c r="K34" s="15">
        <f t="shared" si="28"/>
        <v>140.82331322912668</v>
      </c>
    </row>
    <row r="35" spans="2:11" x14ac:dyDescent="0.25">
      <c r="F35" s="7"/>
      <c r="G35" s="7"/>
      <c r="H35" s="7"/>
      <c r="I35" s="7"/>
      <c r="J35" s="7"/>
      <c r="K35" s="7"/>
    </row>
    <row r="36" spans="2:11" x14ac:dyDescent="0.25">
      <c r="B36" s="25" t="s">
        <v>33</v>
      </c>
      <c r="F36" s="7"/>
      <c r="G36" s="7"/>
      <c r="H36" s="7"/>
      <c r="I36" s="7"/>
      <c r="J36" s="7"/>
      <c r="K36" s="7"/>
    </row>
    <row r="37" spans="2:11" x14ac:dyDescent="0.25">
      <c r="B37" t="s">
        <v>34</v>
      </c>
      <c r="F37" s="8">
        <v>0</v>
      </c>
      <c r="G37" s="7"/>
      <c r="H37" s="7"/>
      <c r="I37" s="7"/>
      <c r="J37" s="7"/>
      <c r="K37" s="7"/>
    </row>
    <row r="38" spans="2:11" x14ac:dyDescent="0.25">
      <c r="B38" t="s">
        <v>35</v>
      </c>
      <c r="F38" s="8">
        <v>5</v>
      </c>
      <c r="G38" s="7">
        <f>+G109</f>
        <v>5</v>
      </c>
      <c r="H38" s="7">
        <f t="shared" ref="H38:K38" si="29">+H109</f>
        <v>5</v>
      </c>
      <c r="I38" s="7">
        <f t="shared" si="29"/>
        <v>5</v>
      </c>
      <c r="J38" s="7">
        <f t="shared" si="29"/>
        <v>5</v>
      </c>
      <c r="K38" s="7">
        <f t="shared" si="29"/>
        <v>0</v>
      </c>
    </row>
    <row r="39" spans="2:11" x14ac:dyDescent="0.25">
      <c r="B39" t="s">
        <v>36</v>
      </c>
      <c r="F39" s="8">
        <v>10</v>
      </c>
      <c r="G39" s="7">
        <f>+G86</f>
        <v>11.796164383561646</v>
      </c>
      <c r="H39" s="7">
        <f t="shared" ref="H39:K39" si="30">+H86</f>
        <v>13.565589041095892</v>
      </c>
      <c r="I39" s="7">
        <f t="shared" si="30"/>
        <v>15.600427397260274</v>
      </c>
      <c r="J39" s="7">
        <f t="shared" si="30"/>
        <v>17.940491506849312</v>
      </c>
      <c r="K39" s="7">
        <f t="shared" si="30"/>
        <v>20.631565232876707</v>
      </c>
    </row>
    <row r="40" spans="2:11" x14ac:dyDescent="0.25">
      <c r="B40" s="13" t="s">
        <v>37</v>
      </c>
      <c r="C40" s="13"/>
      <c r="D40" s="13"/>
      <c r="E40" s="13"/>
      <c r="F40" s="31">
        <f>SUM(F37:F39)</f>
        <v>15</v>
      </c>
      <c r="G40" s="31">
        <f t="shared" ref="G40:K40" si="31">SUM(G37:G39)</f>
        <v>16.796164383561646</v>
      </c>
      <c r="H40" s="31">
        <f t="shared" si="31"/>
        <v>18.56558904109589</v>
      </c>
      <c r="I40" s="31">
        <f t="shared" si="31"/>
        <v>20.600427397260276</v>
      </c>
      <c r="J40" s="31">
        <f t="shared" si="31"/>
        <v>22.940491506849312</v>
      </c>
      <c r="K40" s="31">
        <f t="shared" si="31"/>
        <v>20.631565232876707</v>
      </c>
    </row>
    <row r="41" spans="2:11" x14ac:dyDescent="0.25">
      <c r="B41" t="s">
        <v>38</v>
      </c>
      <c r="F41" s="8">
        <v>20</v>
      </c>
      <c r="G41" s="7">
        <f>+G110</f>
        <v>15</v>
      </c>
      <c r="H41" s="7">
        <f t="shared" ref="H41:K41" si="32">+H110</f>
        <v>10</v>
      </c>
      <c r="I41" s="7">
        <f t="shared" si="32"/>
        <v>5</v>
      </c>
      <c r="J41" s="7">
        <f t="shared" si="32"/>
        <v>0</v>
      </c>
      <c r="K41" s="7">
        <f t="shared" si="32"/>
        <v>0</v>
      </c>
    </row>
    <row r="42" spans="2:11" ht="15.75" thickBot="1" x14ac:dyDescent="0.3">
      <c r="B42" t="s">
        <v>39</v>
      </c>
      <c r="F42" s="8">
        <v>55</v>
      </c>
      <c r="G42" s="7">
        <f>+F42+G15+G59+G60</f>
        <v>63.477399999999996</v>
      </c>
      <c r="H42" s="7">
        <f t="shared" ref="H42:K42" si="33">+G42+H15+H59+H60</f>
        <v>74.031549999999996</v>
      </c>
      <c r="I42" s="7">
        <f t="shared" si="33"/>
        <v>86.841334499999988</v>
      </c>
      <c r="J42" s="7">
        <f t="shared" si="33"/>
        <v>102.13473627499998</v>
      </c>
      <c r="K42" s="7">
        <f t="shared" si="33"/>
        <v>120.19174799624997</v>
      </c>
    </row>
    <row r="43" spans="2:11" ht="15.75" thickTop="1" x14ac:dyDescent="0.25">
      <c r="B43" s="28" t="s">
        <v>40</v>
      </c>
      <c r="C43" s="28"/>
      <c r="D43" s="28"/>
      <c r="E43" s="28"/>
      <c r="F43" s="32">
        <f>+F40+F41+F42</f>
        <v>90</v>
      </c>
      <c r="G43" s="32">
        <f t="shared" ref="G43:K43" si="34">+G40+G41+G42</f>
        <v>95.273564383561649</v>
      </c>
      <c r="H43" s="32">
        <f t="shared" si="34"/>
        <v>102.59713904109589</v>
      </c>
      <c r="I43" s="32">
        <f t="shared" si="34"/>
        <v>112.44176189726026</v>
      </c>
      <c r="J43" s="32">
        <f t="shared" si="34"/>
        <v>125.07522778184929</v>
      </c>
      <c r="K43" s="32">
        <f t="shared" si="34"/>
        <v>140.82331322912668</v>
      </c>
    </row>
    <row r="44" spans="2:11" x14ac:dyDescent="0.25">
      <c r="B44" s="17" t="s">
        <v>41</v>
      </c>
      <c r="F44" s="33">
        <f>+F43-F34</f>
        <v>0</v>
      </c>
      <c r="G44" s="33">
        <f t="shared" ref="G44:K44" si="35">+G43-G34</f>
        <v>0</v>
      </c>
      <c r="H44" s="33">
        <f t="shared" si="35"/>
        <v>0</v>
      </c>
      <c r="I44" s="33">
        <f t="shared" si="35"/>
        <v>0</v>
      </c>
      <c r="J44" s="33">
        <f t="shared" si="35"/>
        <v>0</v>
      </c>
      <c r="K44" s="33">
        <f t="shared" si="35"/>
        <v>0</v>
      </c>
    </row>
    <row r="46" spans="2:11" x14ac:dyDescent="0.25"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5">
      <c r="B47" s="4" t="str">
        <f>+B25</f>
        <v>C$ - MM</v>
      </c>
      <c r="C47" s="4"/>
      <c r="D47" s="4"/>
      <c r="E47" s="5">
        <v>2013</v>
      </c>
      <c r="F47" s="5">
        <v>2014</v>
      </c>
      <c r="G47" s="6">
        <f t="shared" ref="G47:K47" si="36">+F47+1</f>
        <v>2015</v>
      </c>
      <c r="H47" s="6">
        <f t="shared" si="36"/>
        <v>2016</v>
      </c>
      <c r="I47" s="6">
        <f t="shared" si="36"/>
        <v>2017</v>
      </c>
      <c r="J47" s="6">
        <f t="shared" si="36"/>
        <v>2018</v>
      </c>
      <c r="K47" s="6">
        <f t="shared" si="36"/>
        <v>2019</v>
      </c>
    </row>
    <row r="48" spans="2:11" x14ac:dyDescent="0.25">
      <c r="B48" t="s">
        <v>43</v>
      </c>
      <c r="G48" s="9">
        <f>+G15</f>
        <v>8.4773999999999958</v>
      </c>
      <c r="H48" s="9">
        <f t="shared" ref="H48:K48" si="37">+H15</f>
        <v>10.554149999999996</v>
      </c>
      <c r="I48" s="9">
        <f t="shared" si="37"/>
        <v>12.809784499999989</v>
      </c>
      <c r="J48" s="9">
        <f t="shared" si="37"/>
        <v>15.293401774999998</v>
      </c>
      <c r="K48" s="9">
        <f t="shared" si="37"/>
        <v>18.057011721249992</v>
      </c>
    </row>
    <row r="49" spans="2:11" x14ac:dyDescent="0.25">
      <c r="B49" t="s">
        <v>7</v>
      </c>
      <c r="G49" s="38">
        <f t="shared" ref="G49:K49" si="38">-G11</f>
        <v>5</v>
      </c>
      <c r="H49" s="38">
        <f t="shared" si="38"/>
        <v>4.9660000000000002</v>
      </c>
      <c r="I49" s="38">
        <f t="shared" si="38"/>
        <v>5.0837000000000003</v>
      </c>
      <c r="J49" s="38">
        <f t="shared" si="38"/>
        <v>5.3444949999999993</v>
      </c>
      <c r="K49" s="38">
        <f t="shared" si="38"/>
        <v>5.7447612499999998</v>
      </c>
    </row>
    <row r="50" spans="2:11" x14ac:dyDescent="0.25">
      <c r="B50" t="s">
        <v>66</v>
      </c>
      <c r="G50" s="38">
        <f>-G90</f>
        <v>-3.5736986301369811</v>
      </c>
      <c r="H50" s="38">
        <f t="shared" ref="H50:K50" si="39">-H90</f>
        <v>-5.0360547945205525</v>
      </c>
      <c r="I50" s="38">
        <f t="shared" si="39"/>
        <v>-5.7914630136986105</v>
      </c>
      <c r="J50" s="38">
        <f t="shared" si="39"/>
        <v>-6.6601824657534365</v>
      </c>
      <c r="K50" s="38">
        <f t="shared" si="39"/>
        <v>-7.6592098356164229</v>
      </c>
    </row>
    <row r="51" spans="2:11" x14ac:dyDescent="0.25">
      <c r="B51" t="s">
        <v>44</v>
      </c>
      <c r="G51" s="33"/>
      <c r="H51" s="33"/>
      <c r="I51" s="33"/>
      <c r="J51" s="33"/>
      <c r="K51" s="33"/>
    </row>
    <row r="52" spans="2:11" x14ac:dyDescent="0.25">
      <c r="B52" s="13" t="s">
        <v>45</v>
      </c>
      <c r="C52" s="13"/>
      <c r="D52" s="13"/>
      <c r="E52" s="13"/>
      <c r="F52" s="13"/>
      <c r="G52" s="14">
        <f>+G48+G49+G51+G50</f>
        <v>9.9037013698630147</v>
      </c>
      <c r="H52" s="14">
        <f t="shared" ref="H52:K52" si="40">+H48+H49+H51+H50</f>
        <v>10.484095205479445</v>
      </c>
      <c r="I52" s="14">
        <f t="shared" si="40"/>
        <v>12.102021486301378</v>
      </c>
      <c r="J52" s="14">
        <f t="shared" si="40"/>
        <v>13.977714309246561</v>
      </c>
      <c r="K52" s="14">
        <f t="shared" si="40"/>
        <v>16.142563135633569</v>
      </c>
    </row>
    <row r="53" spans="2:11" x14ac:dyDescent="0.25">
      <c r="G53" s="33"/>
      <c r="H53" s="33"/>
      <c r="I53" s="33"/>
      <c r="J53" s="33"/>
      <c r="K53" s="33"/>
    </row>
    <row r="54" spans="2:11" x14ac:dyDescent="0.25">
      <c r="B54" t="s">
        <v>46</v>
      </c>
      <c r="G54" s="38">
        <f>+G20</f>
        <v>-4.83</v>
      </c>
      <c r="H54" s="38">
        <f t="shared" ref="H54:K54" si="41">+H20</f>
        <v>-5.5545</v>
      </c>
      <c r="I54" s="38">
        <f t="shared" si="41"/>
        <v>-6.3876749999999998</v>
      </c>
      <c r="J54" s="38">
        <f t="shared" si="41"/>
        <v>-7.3458262499999991</v>
      </c>
      <c r="K54" s="38">
        <f t="shared" si="41"/>
        <v>-8.4477001874999988</v>
      </c>
    </row>
    <row r="55" spans="2:11" x14ac:dyDescent="0.25">
      <c r="B55" s="13" t="s">
        <v>47</v>
      </c>
      <c r="C55" s="13"/>
      <c r="D55" s="13"/>
      <c r="E55" s="13"/>
      <c r="F55" s="13"/>
      <c r="G55" s="49">
        <f>+G54</f>
        <v>-4.83</v>
      </c>
      <c r="H55" s="49">
        <f t="shared" ref="H55:K55" si="42">+H54</f>
        <v>-5.5545</v>
      </c>
      <c r="I55" s="49">
        <f t="shared" si="42"/>
        <v>-6.3876749999999998</v>
      </c>
      <c r="J55" s="49">
        <f t="shared" si="42"/>
        <v>-7.3458262499999991</v>
      </c>
      <c r="K55" s="49">
        <f t="shared" si="42"/>
        <v>-8.4477001874999988</v>
      </c>
    </row>
    <row r="57" spans="2:11" x14ac:dyDescent="0.25">
      <c r="B57" t="s">
        <v>52</v>
      </c>
      <c r="G57" s="33"/>
      <c r="H57" s="33"/>
      <c r="I57" s="33"/>
      <c r="J57" s="33"/>
      <c r="K57" s="33"/>
    </row>
    <row r="58" spans="2:11" x14ac:dyDescent="0.25">
      <c r="B58" t="s">
        <v>48</v>
      </c>
      <c r="G58" s="38">
        <f>+G104</f>
        <v>-5</v>
      </c>
      <c r="H58" s="38">
        <f t="shared" ref="H58:K58" si="43">+H104</f>
        <v>-5</v>
      </c>
      <c r="I58" s="38">
        <f t="shared" si="43"/>
        <v>-5</v>
      </c>
      <c r="J58" s="38">
        <f t="shared" si="43"/>
        <v>-5</v>
      </c>
      <c r="K58" s="38">
        <f t="shared" si="43"/>
        <v>-5</v>
      </c>
    </row>
    <row r="59" spans="2:11" x14ac:dyDescent="0.25">
      <c r="B59" t="s">
        <v>49</v>
      </c>
      <c r="G59" s="33"/>
      <c r="H59" s="33"/>
      <c r="I59" s="33"/>
      <c r="J59" s="33"/>
      <c r="K59" s="33"/>
    </row>
    <row r="60" spans="2:11" x14ac:dyDescent="0.25">
      <c r="B60" t="s">
        <v>51</v>
      </c>
      <c r="G60" s="33"/>
      <c r="H60" s="33"/>
      <c r="I60" s="33"/>
      <c r="J60" s="33"/>
      <c r="K60" s="33"/>
    </row>
    <row r="61" spans="2:11" x14ac:dyDescent="0.25">
      <c r="B61" s="13" t="s">
        <v>50</v>
      </c>
      <c r="C61" s="13"/>
      <c r="D61" s="13"/>
      <c r="E61" s="13"/>
      <c r="F61" s="13"/>
      <c r="G61" s="49">
        <f>+G60+G59+G58+G57</f>
        <v>-5</v>
      </c>
      <c r="H61" s="49">
        <f t="shared" ref="H61:K61" si="44">+H60+H59+H58+H57</f>
        <v>-5</v>
      </c>
      <c r="I61" s="49">
        <f t="shared" si="44"/>
        <v>-5</v>
      </c>
      <c r="J61" s="49">
        <f t="shared" si="44"/>
        <v>-5</v>
      </c>
      <c r="K61" s="49">
        <f t="shared" si="44"/>
        <v>-5</v>
      </c>
    </row>
    <row r="62" spans="2:11" ht="15.75" thickBot="1" x14ac:dyDescent="0.3"/>
    <row r="63" spans="2:11" ht="15.75" thickTop="1" x14ac:dyDescent="0.25">
      <c r="B63" s="28" t="s">
        <v>53</v>
      </c>
      <c r="C63" s="28"/>
      <c r="D63" s="28"/>
      <c r="E63" s="28">
        <f>+E61+E55+E52</f>
        <v>0</v>
      </c>
      <c r="F63" s="28">
        <f t="shared" ref="F63:K63" si="45">+F61+F55+F52</f>
        <v>0</v>
      </c>
      <c r="G63" s="32">
        <f t="shared" si="45"/>
        <v>7.3701369863014676E-2</v>
      </c>
      <c r="H63" s="32">
        <f t="shared" si="45"/>
        <v>-7.0404794520555924E-2</v>
      </c>
      <c r="I63" s="32">
        <f t="shared" si="45"/>
        <v>0.71434648630137865</v>
      </c>
      <c r="J63" s="32">
        <f t="shared" si="45"/>
        <v>1.6318880592465632</v>
      </c>
      <c r="K63" s="32">
        <f t="shared" si="45"/>
        <v>2.6948629481335704</v>
      </c>
    </row>
    <row r="65" spans="2:11" x14ac:dyDescent="0.25">
      <c r="B65" t="s">
        <v>54</v>
      </c>
      <c r="G65" s="9">
        <f>+F67</f>
        <v>20</v>
      </c>
      <c r="H65" s="9">
        <f t="shared" ref="H65:K65" si="46">+G67</f>
        <v>20.073701369863016</v>
      </c>
      <c r="I65" s="9">
        <f t="shared" si="46"/>
        <v>20.003296575342461</v>
      </c>
      <c r="J65" s="9">
        <f t="shared" si="46"/>
        <v>20.717643061643841</v>
      </c>
      <c r="K65" s="9">
        <f t="shared" si="46"/>
        <v>22.349531120890404</v>
      </c>
    </row>
    <row r="66" spans="2:11" x14ac:dyDescent="0.25">
      <c r="B66" t="s">
        <v>55</v>
      </c>
      <c r="G66" s="7">
        <f>+G63</f>
        <v>7.3701369863014676E-2</v>
      </c>
      <c r="H66" s="7">
        <f t="shared" ref="H66:K66" si="47">+H63</f>
        <v>-7.0404794520555924E-2</v>
      </c>
      <c r="I66" s="7">
        <f t="shared" si="47"/>
        <v>0.71434648630137865</v>
      </c>
      <c r="J66" s="7">
        <f t="shared" si="47"/>
        <v>1.6318880592465632</v>
      </c>
      <c r="K66" s="7">
        <f t="shared" si="47"/>
        <v>2.6948629481335704</v>
      </c>
    </row>
    <row r="67" spans="2:11" x14ac:dyDescent="0.25">
      <c r="B67" s="34" t="s">
        <v>56</v>
      </c>
      <c r="C67" s="34"/>
      <c r="D67" s="34"/>
      <c r="E67" s="34"/>
      <c r="F67" s="35">
        <f>+F27</f>
        <v>20</v>
      </c>
      <c r="G67" s="35">
        <f>+G65+G66</f>
        <v>20.073701369863016</v>
      </c>
      <c r="H67" s="35">
        <f t="shared" ref="H67:K67" si="48">+H65+H66</f>
        <v>20.003296575342461</v>
      </c>
      <c r="I67" s="35">
        <f t="shared" si="48"/>
        <v>20.717643061643841</v>
      </c>
      <c r="J67" s="35">
        <f t="shared" si="48"/>
        <v>22.349531120890404</v>
      </c>
      <c r="K67" s="35">
        <f t="shared" si="48"/>
        <v>25.044394069023973</v>
      </c>
    </row>
    <row r="71" spans="2:11" x14ac:dyDescent="0.25">
      <c r="B71" s="37" t="s">
        <v>57</v>
      </c>
      <c r="C71" s="37"/>
      <c r="D71" s="37"/>
      <c r="E71" s="37"/>
      <c r="F71" s="37"/>
      <c r="G71" s="37"/>
      <c r="H71" s="37"/>
      <c r="I71" s="37"/>
      <c r="J71" s="37"/>
      <c r="K71" s="37"/>
    </row>
    <row r="73" spans="2:11" x14ac:dyDescent="0.25">
      <c r="B73" s="2" t="s">
        <v>58</v>
      </c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5">
      <c r="B74" s="4" t="str">
        <f>+B47</f>
        <v>C$ - MM</v>
      </c>
      <c r="C74" s="4"/>
      <c r="D74" s="4"/>
      <c r="E74" s="5">
        <v>2013</v>
      </c>
      <c r="F74" s="5">
        <v>2014</v>
      </c>
      <c r="G74" s="6">
        <f t="shared" ref="G74" si="49">+F74+1</f>
        <v>2015</v>
      </c>
      <c r="H74" s="6">
        <f t="shared" ref="H74" si="50">+G74+1</f>
        <v>2016</v>
      </c>
      <c r="I74" s="6">
        <f t="shared" ref="I74" si="51">+H74+1</f>
        <v>2017</v>
      </c>
      <c r="J74" s="6">
        <f t="shared" ref="J74" si="52">+I74+1</f>
        <v>2018</v>
      </c>
      <c r="K74" s="6">
        <f t="shared" ref="K74" si="53">+J74+1</f>
        <v>2019</v>
      </c>
    </row>
    <row r="75" spans="2:11" x14ac:dyDescent="0.25">
      <c r="B75" t="str">
        <f>+B4</f>
        <v>Sales</v>
      </c>
      <c r="E75">
        <f t="shared" ref="E75:K75" si="54">+E4</f>
        <v>100</v>
      </c>
      <c r="F75">
        <f t="shared" si="54"/>
        <v>120</v>
      </c>
      <c r="G75">
        <f t="shared" si="54"/>
        <v>138</v>
      </c>
      <c r="H75">
        <f t="shared" si="54"/>
        <v>158.69999999999999</v>
      </c>
      <c r="I75">
        <f t="shared" si="54"/>
        <v>182.50499999999997</v>
      </c>
      <c r="J75">
        <f t="shared" si="54"/>
        <v>209.88074999999995</v>
      </c>
      <c r="K75">
        <f t="shared" si="54"/>
        <v>241.36286249999992</v>
      </c>
    </row>
    <row r="76" spans="2:11" x14ac:dyDescent="0.25">
      <c r="B76" t="str">
        <f>+B5</f>
        <v>COGS</v>
      </c>
      <c r="E76" s="38">
        <f t="shared" ref="E76:K76" si="55">+E5</f>
        <v>-50</v>
      </c>
      <c r="F76" s="38">
        <f t="shared" si="55"/>
        <v>-65</v>
      </c>
      <c r="G76" s="38">
        <f t="shared" si="55"/>
        <v>-71.760000000000005</v>
      </c>
      <c r="H76" s="38">
        <f t="shared" si="55"/>
        <v>-82.524000000000001</v>
      </c>
      <c r="I76" s="38">
        <f t="shared" si="55"/>
        <v>-94.902599999999993</v>
      </c>
      <c r="J76" s="38">
        <f t="shared" si="55"/>
        <v>-109.13798999999997</v>
      </c>
      <c r="K76" s="38">
        <f t="shared" si="55"/>
        <v>-125.50868849999996</v>
      </c>
    </row>
    <row r="78" spans="2:11" x14ac:dyDescent="0.25">
      <c r="B78" t="str">
        <f>+B28</f>
        <v>Receivables</v>
      </c>
      <c r="F78" s="38">
        <f>+F28</f>
        <v>10</v>
      </c>
      <c r="G78" s="38">
        <f t="shared" ref="G78:K78" si="56">+G79*G$75/365</f>
        <v>11.342465753424657</v>
      </c>
      <c r="H78" s="38">
        <f t="shared" si="56"/>
        <v>13.043835616438356</v>
      </c>
      <c r="I78" s="38">
        <f t="shared" si="56"/>
        <v>15.000410958904107</v>
      </c>
      <c r="J78" s="38">
        <f t="shared" si="56"/>
        <v>17.250472602739723</v>
      </c>
      <c r="K78" s="38">
        <f t="shared" si="56"/>
        <v>19.838043493150678</v>
      </c>
    </row>
    <row r="79" spans="2:11" x14ac:dyDescent="0.25">
      <c r="B79" s="17" t="s">
        <v>64</v>
      </c>
      <c r="C79" s="45">
        <f>+Assumptions!D12</f>
        <v>30</v>
      </c>
      <c r="D79" s="17"/>
      <c r="E79" s="17"/>
      <c r="F79" s="46">
        <f>+F78/$F75*365</f>
        <v>30.416666666666664</v>
      </c>
      <c r="G79" s="46">
        <f t="shared" ref="G79:K79" si="57">+$C$79</f>
        <v>30</v>
      </c>
      <c r="H79" s="46">
        <f t="shared" si="57"/>
        <v>30</v>
      </c>
      <c r="I79" s="46">
        <f t="shared" si="57"/>
        <v>30</v>
      </c>
      <c r="J79" s="46">
        <f t="shared" si="57"/>
        <v>30</v>
      </c>
      <c r="K79" s="46">
        <f t="shared" si="57"/>
        <v>30</v>
      </c>
    </row>
    <row r="80" spans="2:11" x14ac:dyDescent="0.25">
      <c r="F80" s="38"/>
    </row>
    <row r="81" spans="2:11" x14ac:dyDescent="0.25">
      <c r="B81" t="str">
        <f>+B29</f>
        <v xml:space="preserve">Inventory </v>
      </c>
      <c r="F81" s="38">
        <f>+F29</f>
        <v>30</v>
      </c>
      <c r="G81" s="38">
        <f t="shared" ref="G81" si="58">+G82*G$75/365</f>
        <v>34.027397260273972</v>
      </c>
      <c r="H81" s="38">
        <f t="shared" ref="H81" si="59">+H82*H$75/365</f>
        <v>39.131506849315066</v>
      </c>
      <c r="I81" s="38">
        <f t="shared" ref="I81" si="60">+I82*I$75/365</f>
        <v>45.001232876712322</v>
      </c>
      <c r="J81" s="38">
        <f t="shared" ref="J81" si="61">+J82*J$75/365</f>
        <v>51.751417808219166</v>
      </c>
      <c r="K81" s="38">
        <f t="shared" ref="K81" si="62">+K82*K$75/365</f>
        <v>59.514130479452035</v>
      </c>
    </row>
    <row r="82" spans="2:11" x14ac:dyDescent="0.25">
      <c r="B82" s="17" t="s">
        <v>64</v>
      </c>
      <c r="C82" s="45">
        <f>+Assumptions!D13</f>
        <v>90</v>
      </c>
      <c r="D82" s="17"/>
      <c r="E82" s="17"/>
      <c r="F82" s="46">
        <f>+F81/F$75*365</f>
        <v>91.25</v>
      </c>
      <c r="G82" s="46">
        <f t="shared" ref="G82:K82" si="63">+$C$82</f>
        <v>90</v>
      </c>
      <c r="H82" s="46">
        <f t="shared" si="63"/>
        <v>90</v>
      </c>
      <c r="I82" s="46">
        <f t="shared" si="63"/>
        <v>90</v>
      </c>
      <c r="J82" s="46">
        <f t="shared" si="63"/>
        <v>90</v>
      </c>
      <c r="K82" s="46">
        <f t="shared" si="63"/>
        <v>90</v>
      </c>
    </row>
    <row r="83" spans="2:11" x14ac:dyDescent="0.25">
      <c r="F83" s="38"/>
    </row>
    <row r="84" spans="2:11" x14ac:dyDescent="0.25">
      <c r="B84" t="str">
        <f>+B30</f>
        <v>prepaids</v>
      </c>
      <c r="F84" s="38">
        <f>+F30</f>
        <v>5</v>
      </c>
      <c r="G84" s="38">
        <f>+F84</f>
        <v>5</v>
      </c>
      <c r="H84" s="38">
        <f t="shared" ref="H84:K84" si="64">+G84</f>
        <v>5</v>
      </c>
      <c r="I84" s="38">
        <f t="shared" si="64"/>
        <v>5</v>
      </c>
      <c r="J84" s="38">
        <f t="shared" si="64"/>
        <v>5</v>
      </c>
      <c r="K84" s="38">
        <f t="shared" si="64"/>
        <v>5</v>
      </c>
    </row>
    <row r="85" spans="2:11" x14ac:dyDescent="0.25">
      <c r="F85" s="38"/>
    </row>
    <row r="86" spans="2:11" x14ac:dyDescent="0.25">
      <c r="B86" t="str">
        <f>+B39</f>
        <v>Payables</v>
      </c>
      <c r="F86" s="38">
        <f>+F39</f>
        <v>10</v>
      </c>
      <c r="G86" s="38">
        <f>-G87*G$76/365</f>
        <v>11.796164383561646</v>
      </c>
      <c r="H86" s="38">
        <f t="shared" ref="H86:K86" si="65">-H87*H$76/365</f>
        <v>13.565589041095892</v>
      </c>
      <c r="I86" s="38">
        <f t="shared" si="65"/>
        <v>15.600427397260274</v>
      </c>
      <c r="J86" s="38">
        <f t="shared" si="65"/>
        <v>17.940491506849312</v>
      </c>
      <c r="K86" s="38">
        <f t="shared" si="65"/>
        <v>20.631565232876707</v>
      </c>
    </row>
    <row r="87" spans="2:11" x14ac:dyDescent="0.25">
      <c r="B87" s="17" t="s">
        <v>65</v>
      </c>
      <c r="C87" s="44">
        <f>+Assumptions!D14</f>
        <v>60</v>
      </c>
      <c r="F87" s="46">
        <f>-F86/F$76*365</f>
        <v>56.15384615384616</v>
      </c>
      <c r="G87" s="46">
        <f t="shared" ref="G87:K87" si="66">+$C$87</f>
        <v>60</v>
      </c>
      <c r="H87" s="46">
        <f t="shared" si="66"/>
        <v>60</v>
      </c>
      <c r="I87" s="46">
        <f t="shared" si="66"/>
        <v>60</v>
      </c>
      <c r="J87" s="46">
        <f t="shared" si="66"/>
        <v>60</v>
      </c>
      <c r="K87" s="46">
        <f t="shared" si="66"/>
        <v>60</v>
      </c>
    </row>
    <row r="89" spans="2:11" x14ac:dyDescent="0.25">
      <c r="B89" s="3" t="s">
        <v>58</v>
      </c>
      <c r="C89" s="3"/>
      <c r="D89" s="3"/>
      <c r="E89" s="3"/>
      <c r="F89" s="47">
        <f>+F78+F81+F84-F86</f>
        <v>35</v>
      </c>
      <c r="G89" s="47">
        <f t="shared" ref="G89:K89" si="67">+G78+G81+G84-G86</f>
        <v>38.573698630136981</v>
      </c>
      <c r="H89" s="47">
        <f t="shared" si="67"/>
        <v>43.609753424657534</v>
      </c>
      <c r="I89" s="47">
        <f t="shared" si="67"/>
        <v>49.401216438356144</v>
      </c>
      <c r="J89" s="47">
        <f t="shared" si="67"/>
        <v>56.061398904109581</v>
      </c>
      <c r="K89" s="47">
        <f t="shared" si="67"/>
        <v>63.720608739726003</v>
      </c>
    </row>
    <row r="90" spans="2:11" x14ac:dyDescent="0.25">
      <c r="B90" s="3" t="s">
        <v>66</v>
      </c>
      <c r="C90" s="3"/>
      <c r="D90" s="3"/>
      <c r="E90" s="3"/>
      <c r="F90" s="3"/>
      <c r="G90" s="47">
        <f>+G89-F89</f>
        <v>3.5736986301369811</v>
      </c>
      <c r="H90" s="47">
        <f t="shared" ref="H90:K90" si="68">+H89-G89</f>
        <v>5.0360547945205525</v>
      </c>
      <c r="I90" s="47">
        <f t="shared" si="68"/>
        <v>5.7914630136986105</v>
      </c>
      <c r="J90" s="47">
        <f t="shared" si="68"/>
        <v>6.6601824657534365</v>
      </c>
      <c r="K90" s="47">
        <f t="shared" si="68"/>
        <v>7.6592098356164229</v>
      </c>
    </row>
    <row r="93" spans="2:11" ht="24.95" customHeight="1" x14ac:dyDescent="0.25">
      <c r="B93" s="39" t="s">
        <v>67</v>
      </c>
      <c r="C93" s="39"/>
      <c r="D93" s="39"/>
      <c r="E93" s="39"/>
      <c r="F93" s="39"/>
      <c r="G93" s="39"/>
      <c r="H93" s="39"/>
      <c r="I93" s="39"/>
      <c r="J93" s="39"/>
      <c r="K93" s="39"/>
    </row>
    <row r="94" spans="2:11" x14ac:dyDescent="0.25">
      <c r="B94" s="4" t="str">
        <f>+B74</f>
        <v>C$ - MM</v>
      </c>
      <c r="C94" s="4"/>
      <c r="D94" s="4"/>
      <c r="E94" s="5">
        <v>2013</v>
      </c>
      <c r="F94" s="5">
        <v>2014</v>
      </c>
      <c r="G94" s="6">
        <f t="shared" ref="G94" si="69">+F94+1</f>
        <v>2015</v>
      </c>
      <c r="H94" s="6">
        <f t="shared" ref="H94" si="70">+G94+1</f>
        <v>2016</v>
      </c>
      <c r="I94" s="6">
        <f t="shared" ref="I94" si="71">+H94+1</f>
        <v>2017</v>
      </c>
      <c r="J94" s="6">
        <f t="shared" ref="J94" si="72">+I94+1</f>
        <v>2018</v>
      </c>
      <c r="K94" s="6">
        <f t="shared" ref="K94" si="73">+J94+1</f>
        <v>2019</v>
      </c>
    </row>
    <row r="95" spans="2:11" x14ac:dyDescent="0.25">
      <c r="B95" t="s">
        <v>68</v>
      </c>
      <c r="G95" s="7">
        <f>+F98</f>
        <v>25</v>
      </c>
      <c r="H95" s="7">
        <f>+G98</f>
        <v>24.83</v>
      </c>
      <c r="I95" s="7">
        <f t="shared" ref="I95:K95" si="74">+H98</f>
        <v>25.418499999999998</v>
      </c>
      <c r="J95" s="7">
        <f t="shared" si="74"/>
        <v>26.722474999999996</v>
      </c>
      <c r="K95" s="7">
        <f t="shared" si="74"/>
        <v>28.723806249999999</v>
      </c>
    </row>
    <row r="96" spans="2:11" x14ac:dyDescent="0.25">
      <c r="B96" t="s">
        <v>19</v>
      </c>
      <c r="G96" s="9">
        <f>-G20</f>
        <v>4.83</v>
      </c>
      <c r="H96" s="9">
        <f t="shared" ref="H96:K96" si="75">-H20</f>
        <v>5.5545</v>
      </c>
      <c r="I96" s="9">
        <f t="shared" si="75"/>
        <v>6.3876749999999998</v>
      </c>
      <c r="J96" s="9">
        <f t="shared" si="75"/>
        <v>7.3458262499999991</v>
      </c>
      <c r="K96" s="9">
        <f t="shared" si="75"/>
        <v>8.4477001874999988</v>
      </c>
    </row>
    <row r="97" spans="2:12" x14ac:dyDescent="0.25">
      <c r="B97" s="11" t="s">
        <v>7</v>
      </c>
      <c r="C97" s="50">
        <f>+Assumptions!D10</f>
        <v>0.2</v>
      </c>
      <c r="D97" s="11"/>
      <c r="E97" s="11"/>
      <c r="F97" s="11"/>
      <c r="G97" s="51">
        <f t="shared" ref="G97:K97" si="76">-G95*$C$97</f>
        <v>-5</v>
      </c>
      <c r="H97" s="51">
        <f t="shared" si="76"/>
        <v>-4.9660000000000002</v>
      </c>
      <c r="I97" s="51">
        <f t="shared" si="76"/>
        <v>-5.0837000000000003</v>
      </c>
      <c r="J97" s="51">
        <f t="shared" si="76"/>
        <v>-5.3444949999999993</v>
      </c>
      <c r="K97" s="51">
        <f t="shared" si="76"/>
        <v>-5.7447612499999998</v>
      </c>
    </row>
    <row r="98" spans="2:12" x14ac:dyDescent="0.25">
      <c r="B98" s="3" t="s">
        <v>69</v>
      </c>
      <c r="C98" s="3"/>
      <c r="D98" s="3"/>
      <c r="E98" s="3"/>
      <c r="F98" s="15">
        <f>+F32</f>
        <v>25</v>
      </c>
      <c r="G98" s="15">
        <f>+G95+G96+G97</f>
        <v>24.83</v>
      </c>
      <c r="H98" s="15">
        <f t="shared" ref="H98:K98" si="77">+H95+H96+H97</f>
        <v>25.418499999999998</v>
      </c>
      <c r="I98" s="15">
        <f t="shared" si="77"/>
        <v>26.722474999999996</v>
      </c>
      <c r="J98" s="15">
        <f t="shared" si="77"/>
        <v>28.723806249999999</v>
      </c>
      <c r="K98" s="15">
        <f t="shared" si="77"/>
        <v>31.4267451875</v>
      </c>
    </row>
    <row r="101" spans="2:12" ht="17.25" x14ac:dyDescent="0.25">
      <c r="B101" s="39" t="s">
        <v>71</v>
      </c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2:12" x14ac:dyDescent="0.25">
      <c r="B102" s="4" t="str">
        <f>+$B$94</f>
        <v>C$ - MM</v>
      </c>
      <c r="C102" s="4"/>
      <c r="D102" s="4"/>
      <c r="E102" s="5">
        <v>2013</v>
      </c>
      <c r="F102" s="5">
        <v>2014</v>
      </c>
      <c r="G102" s="6">
        <f t="shared" ref="G102" si="78">+F102+1</f>
        <v>2015</v>
      </c>
      <c r="H102" s="6">
        <f t="shared" ref="H102" si="79">+G102+1</f>
        <v>2016</v>
      </c>
      <c r="I102" s="6">
        <f t="shared" ref="I102" si="80">+H102+1</f>
        <v>2017</v>
      </c>
      <c r="J102" s="6">
        <f t="shared" ref="J102" si="81">+I102+1</f>
        <v>2018</v>
      </c>
      <c r="K102" s="6">
        <f t="shared" ref="K102" si="82">+J102+1</f>
        <v>2019</v>
      </c>
    </row>
    <row r="103" spans="2:12" x14ac:dyDescent="0.25">
      <c r="B103" t="s">
        <v>72</v>
      </c>
      <c r="G103" s="7">
        <f>+F105</f>
        <v>25</v>
      </c>
      <c r="H103" s="7">
        <f t="shared" ref="H103:K103" si="83">+G105</f>
        <v>20</v>
      </c>
      <c r="I103" s="7">
        <f t="shared" si="83"/>
        <v>15</v>
      </c>
      <c r="J103" s="7">
        <f t="shared" si="83"/>
        <v>10</v>
      </c>
      <c r="K103" s="7">
        <f t="shared" si="83"/>
        <v>5</v>
      </c>
    </row>
    <row r="104" spans="2:12" x14ac:dyDescent="0.25">
      <c r="B104" t="s">
        <v>79</v>
      </c>
      <c r="C104" s="56">
        <f>+Assumptions!D16</f>
        <v>0.2</v>
      </c>
      <c r="G104" s="38">
        <f>-G103*C104</f>
        <v>-5</v>
      </c>
      <c r="H104" s="38">
        <f>+G104</f>
        <v>-5</v>
      </c>
      <c r="I104" s="38">
        <f>+H104</f>
        <v>-5</v>
      </c>
      <c r="J104" s="38">
        <f t="shared" ref="I104:K104" si="84">+I104</f>
        <v>-5</v>
      </c>
      <c r="K104" s="38">
        <f t="shared" si="84"/>
        <v>-5</v>
      </c>
      <c r="L104" s="38"/>
    </row>
    <row r="105" spans="2:12" x14ac:dyDescent="0.25">
      <c r="B105" t="s">
        <v>73</v>
      </c>
      <c r="C105" s="56"/>
      <c r="F105" s="7">
        <f>+F38+F41</f>
        <v>25</v>
      </c>
      <c r="G105" s="7">
        <f>+G103+G104</f>
        <v>20</v>
      </c>
      <c r="H105" s="7">
        <f t="shared" ref="H105:K105" si="85">+H103+H104</f>
        <v>15</v>
      </c>
      <c r="I105" s="7">
        <f t="shared" si="85"/>
        <v>10</v>
      </c>
      <c r="J105" s="7">
        <f t="shared" si="85"/>
        <v>5</v>
      </c>
      <c r="K105" s="7">
        <f t="shared" si="85"/>
        <v>0</v>
      </c>
    </row>
    <row r="106" spans="2:12" x14ac:dyDescent="0.25">
      <c r="C106" s="56"/>
    </row>
    <row r="107" spans="2:12" x14ac:dyDescent="0.25">
      <c r="B107" t="s">
        <v>8</v>
      </c>
      <c r="C107" s="56">
        <f>+Assumptions!D17</f>
        <v>0.04</v>
      </c>
      <c r="G107" s="38">
        <f>-$C$107*G103</f>
        <v>-1</v>
      </c>
      <c r="H107" s="38">
        <f t="shared" ref="H107:K107" si="86">-$C$107*H103</f>
        <v>-0.8</v>
      </c>
      <c r="I107" s="38">
        <f t="shared" si="86"/>
        <v>-0.6</v>
      </c>
      <c r="J107" s="38">
        <f t="shared" si="86"/>
        <v>-0.4</v>
      </c>
      <c r="K107" s="38">
        <f t="shared" si="86"/>
        <v>-0.2</v>
      </c>
    </row>
    <row r="109" spans="2:12" x14ac:dyDescent="0.25">
      <c r="B109" t="s">
        <v>74</v>
      </c>
      <c r="G109" s="38">
        <f>-H104</f>
        <v>5</v>
      </c>
      <c r="H109" s="38">
        <f t="shared" ref="H109:K109" si="87">-I104</f>
        <v>5</v>
      </c>
      <c r="I109" s="38">
        <f t="shared" si="87"/>
        <v>5</v>
      </c>
      <c r="J109" s="38">
        <f t="shared" si="87"/>
        <v>5</v>
      </c>
      <c r="K109" s="38">
        <f t="shared" si="87"/>
        <v>0</v>
      </c>
    </row>
    <row r="110" spans="2:12" x14ac:dyDescent="0.25">
      <c r="B110" t="s">
        <v>75</v>
      </c>
      <c r="G110" s="38">
        <f>+G105-G109</f>
        <v>15</v>
      </c>
      <c r="H110" s="38">
        <f t="shared" ref="H110:K110" si="88">+H105-H109</f>
        <v>10</v>
      </c>
      <c r="I110" s="38">
        <f t="shared" si="88"/>
        <v>5</v>
      </c>
      <c r="J110" s="38">
        <f t="shared" si="88"/>
        <v>0</v>
      </c>
      <c r="K110" s="38"/>
    </row>
    <row r="113" spans="2:13" ht="17.25" x14ac:dyDescent="0.25">
      <c r="B113" s="39" t="s">
        <v>80</v>
      </c>
      <c r="C113" s="39"/>
      <c r="D113" s="39"/>
      <c r="E113" s="39"/>
      <c r="F113" s="39"/>
      <c r="G113" s="39"/>
      <c r="H113" s="39"/>
      <c r="I113" s="39"/>
      <c r="J113" s="39"/>
      <c r="K113" s="39"/>
    </row>
    <row r="114" spans="2:13" x14ac:dyDescent="0.25">
      <c r="B114" s="4" t="str">
        <f>+$B$94</f>
        <v>C$ - MM</v>
      </c>
      <c r="C114" s="4"/>
      <c r="D114" s="4"/>
      <c r="E114" s="5">
        <v>2013</v>
      </c>
      <c r="F114" s="5">
        <v>2014</v>
      </c>
      <c r="G114" s="6">
        <f t="shared" ref="G114" si="89">+F114+1</f>
        <v>2015</v>
      </c>
      <c r="H114" s="6">
        <f t="shared" ref="H114" si="90">+G114+1</f>
        <v>2016</v>
      </c>
      <c r="I114" s="6">
        <f t="shared" ref="I114" si="91">+H114+1</f>
        <v>2017</v>
      </c>
      <c r="J114" s="6">
        <f t="shared" ref="J114" si="92">+I114+1</f>
        <v>2018</v>
      </c>
      <c r="K114" s="6">
        <f t="shared" ref="K114" si="93">+J114+1</f>
        <v>2019</v>
      </c>
    </row>
    <row r="115" spans="2:13" x14ac:dyDescent="0.25">
      <c r="B115" t="s">
        <v>81</v>
      </c>
    </row>
    <row r="116" spans="2:13" x14ac:dyDescent="0.25">
      <c r="B116" t="s">
        <v>6</v>
      </c>
      <c r="F116" s="9">
        <f>+F10</f>
        <v>12</v>
      </c>
      <c r="G116" s="9">
        <f>+G10</f>
        <v>17.939999999999994</v>
      </c>
      <c r="H116" s="9">
        <f t="shared" ref="H116:K116" si="94">+H10</f>
        <v>20.630999999999997</v>
      </c>
      <c r="I116" s="9">
        <f t="shared" si="94"/>
        <v>23.725649999999984</v>
      </c>
      <c r="J116" s="9">
        <f t="shared" si="94"/>
        <v>27.284497499999993</v>
      </c>
      <c r="K116" s="9">
        <f t="shared" si="94"/>
        <v>31.377172124999987</v>
      </c>
    </row>
    <row r="117" spans="2:13" x14ac:dyDescent="0.25">
      <c r="B117" t="s">
        <v>82</v>
      </c>
      <c r="C117" s="16">
        <f>+C14</f>
        <v>0.28999999999999998</v>
      </c>
      <c r="G117" s="38">
        <f>+(1-$C$117)*G116</f>
        <v>12.737399999999996</v>
      </c>
      <c r="H117" s="38">
        <f t="shared" ref="H117:K117" si="95">+(1-$C$117)*H116</f>
        <v>14.648009999999998</v>
      </c>
      <c r="I117" s="38">
        <f t="shared" si="95"/>
        <v>16.845211499999987</v>
      </c>
      <c r="J117" s="38">
        <f t="shared" si="95"/>
        <v>19.371993224999994</v>
      </c>
      <c r="K117" s="38">
        <f t="shared" si="95"/>
        <v>22.27779220874999</v>
      </c>
    </row>
    <row r="118" spans="2:13" x14ac:dyDescent="0.25">
      <c r="B118" t="s">
        <v>83</v>
      </c>
      <c r="C118" s="16">
        <f>+C117</f>
        <v>0.28999999999999998</v>
      </c>
      <c r="G118" s="38">
        <f t="shared" ref="G118:K118" si="96">-$C$118*G11</f>
        <v>1.45</v>
      </c>
      <c r="H118" s="38">
        <f t="shared" si="96"/>
        <v>1.44014</v>
      </c>
      <c r="I118" s="38">
        <f t="shared" si="96"/>
        <v>1.4742729999999999</v>
      </c>
      <c r="J118" s="38">
        <f t="shared" si="96"/>
        <v>1.5499035499999998</v>
      </c>
      <c r="K118" s="38">
        <f t="shared" si="96"/>
        <v>1.6659807624999998</v>
      </c>
    </row>
    <row r="119" spans="2:13" x14ac:dyDescent="0.25">
      <c r="B119" t="s">
        <v>19</v>
      </c>
      <c r="G119" s="9">
        <f>+G20</f>
        <v>-4.83</v>
      </c>
      <c r="H119" s="9">
        <f t="shared" ref="H119:K119" si="97">+H20</f>
        <v>-5.5545</v>
      </c>
      <c r="I119" s="9">
        <f t="shared" si="97"/>
        <v>-6.3876749999999998</v>
      </c>
      <c r="J119" s="9">
        <f t="shared" si="97"/>
        <v>-7.3458262499999991</v>
      </c>
      <c r="K119" s="9">
        <f t="shared" si="97"/>
        <v>-8.4477001874999988</v>
      </c>
    </row>
    <row r="120" spans="2:13" x14ac:dyDescent="0.25">
      <c r="B120" t="str">
        <f>" -Change in WC"</f>
        <v xml:space="preserve"> -Change in WC</v>
      </c>
      <c r="G120" s="38">
        <f>-G90</f>
        <v>-3.5736986301369811</v>
      </c>
      <c r="H120" s="38">
        <f t="shared" ref="H120:K120" si="98">-H90</f>
        <v>-5.0360547945205525</v>
      </c>
      <c r="I120" s="38">
        <f t="shared" si="98"/>
        <v>-5.7914630136986105</v>
      </c>
      <c r="J120" s="38">
        <f t="shared" si="98"/>
        <v>-6.6601824657534365</v>
      </c>
      <c r="K120" s="38">
        <f t="shared" si="98"/>
        <v>-7.6592098356164229</v>
      </c>
    </row>
    <row r="121" spans="2:13" x14ac:dyDescent="0.25">
      <c r="B121" s="13" t="s">
        <v>81</v>
      </c>
      <c r="C121" s="13" t="s">
        <v>88</v>
      </c>
      <c r="D121" s="13" t="s">
        <v>89</v>
      </c>
      <c r="E121" s="13"/>
      <c r="F121" s="13"/>
      <c r="G121" s="49">
        <f>+G117+G118+G119+G120</f>
        <v>5.7837013698630138</v>
      </c>
      <c r="H121" s="49">
        <f t="shared" ref="H121:K121" si="99">+H117+H118+H119+H120</f>
        <v>5.4975952054794455</v>
      </c>
      <c r="I121" s="49">
        <f t="shared" si="99"/>
        <v>6.140346486301377</v>
      </c>
      <c r="J121" s="49">
        <f t="shared" si="99"/>
        <v>6.9158880592465586</v>
      </c>
      <c r="K121" s="49">
        <f t="shared" si="99"/>
        <v>7.8368629481335663</v>
      </c>
      <c r="L121" s="58">
        <f>+K121*(1+D122)</f>
        <v>8.0719688365775735</v>
      </c>
    </row>
    <row r="122" spans="2:13" x14ac:dyDescent="0.25">
      <c r="C122" s="56">
        <f>+Assumptions!H3</f>
        <v>0.1</v>
      </c>
      <c r="D122" s="56">
        <v>0.03</v>
      </c>
      <c r="L122" s="38">
        <f>+L121/(C122-D122)</f>
        <v>115.31384052253675</v>
      </c>
      <c r="M122" t="s">
        <v>87</v>
      </c>
    </row>
    <row r="123" spans="2:13" x14ac:dyDescent="0.25">
      <c r="B123" t="s">
        <v>90</v>
      </c>
      <c r="G123">
        <v>1</v>
      </c>
      <c r="H123">
        <f>+G123+1</f>
        <v>2</v>
      </c>
      <c r="I123">
        <f t="shared" ref="I123:K123" si="100">+H123+1</f>
        <v>3</v>
      </c>
      <c r="J123">
        <f t="shared" si="100"/>
        <v>4</v>
      </c>
      <c r="K123">
        <f t="shared" si="100"/>
        <v>5</v>
      </c>
    </row>
    <row r="124" spans="2:13" ht="15.75" thickBot="1" x14ac:dyDescent="0.3">
      <c r="G124" s="62">
        <f>1/(1+$C$122)^G123</f>
        <v>0.90909090909090906</v>
      </c>
      <c r="H124" s="62">
        <f t="shared" ref="H124:K124" si="101">1/(1+$C$122)^H123</f>
        <v>0.82644628099173545</v>
      </c>
      <c r="I124" s="62">
        <f t="shared" si="101"/>
        <v>0.75131480090157754</v>
      </c>
      <c r="J124" s="62">
        <f t="shared" si="101"/>
        <v>0.68301345536507052</v>
      </c>
      <c r="K124" s="62">
        <f t="shared" si="101"/>
        <v>0.62092132305915493</v>
      </c>
      <c r="L124" s="62">
        <f>+K124</f>
        <v>0.62092132305915493</v>
      </c>
    </row>
    <row r="125" spans="2:13" ht="15.75" thickBot="1" x14ac:dyDescent="0.3">
      <c r="B125" s="64" t="s">
        <v>91</v>
      </c>
      <c r="C125" s="65">
        <f>SUM(G125:L125)</f>
        <v>95.6052529809661</v>
      </c>
      <c r="G125" s="38">
        <f>+G121*G124</f>
        <v>5.2579103362391031</v>
      </c>
      <c r="H125" s="38">
        <f t="shared" ref="H125:L125" si="102">+H121*H124</f>
        <v>4.5434671119664838</v>
      </c>
      <c r="I125" s="38">
        <f t="shared" si="102"/>
        <v>4.6133331978222207</v>
      </c>
      <c r="J125" s="38">
        <f t="shared" si="102"/>
        <v>4.7236446002640236</v>
      </c>
      <c r="K125" s="38">
        <f t="shared" si="102"/>
        <v>4.8660753103883634</v>
      </c>
      <c r="L125" s="38">
        <f>+L122*L124</f>
        <v>71.600822424285909</v>
      </c>
    </row>
    <row r="127" spans="2:13" x14ac:dyDescent="0.25">
      <c r="C127" s="61">
        <f>+C125/F116</f>
        <v>7.9671044150805086</v>
      </c>
      <c r="K127" s="33"/>
    </row>
  </sheetData>
  <conditionalFormatting sqref="F44:K44">
    <cfRule type="cellIs" dxfId="2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B2:L195"/>
  <sheetViews>
    <sheetView zoomScaleNormal="100" workbookViewId="0">
      <selection activeCell="I8" sqref="I8"/>
    </sheetView>
  </sheetViews>
  <sheetFormatPr defaultRowHeight="15" x14ac:dyDescent="0.25"/>
  <cols>
    <col min="2" max="2" width="26.140625" bestFit="1" customWidth="1"/>
    <col min="7" max="7" width="10" customWidth="1"/>
  </cols>
  <sheetData>
    <row r="2" spans="2:5" x14ac:dyDescent="0.25">
      <c r="B2" t="s">
        <v>104</v>
      </c>
      <c r="D2" s="41">
        <v>100</v>
      </c>
    </row>
    <row r="3" spans="2:5" x14ac:dyDescent="0.25">
      <c r="B3" t="s">
        <v>121</v>
      </c>
      <c r="C3" s="70">
        <f>+Assumptions!H17</f>
        <v>0.02</v>
      </c>
      <c r="D3">
        <f>+D2*C3</f>
        <v>2</v>
      </c>
    </row>
    <row r="4" spans="2:5" x14ac:dyDescent="0.25">
      <c r="B4" t="s">
        <v>123</v>
      </c>
      <c r="C4" s="70"/>
      <c r="D4">
        <f>+D2+D3</f>
        <v>102</v>
      </c>
    </row>
    <row r="6" spans="2:5" x14ac:dyDescent="0.25">
      <c r="B6" t="s">
        <v>105</v>
      </c>
      <c r="D6" s="9">
        <f>+F26</f>
        <v>12</v>
      </c>
    </row>
    <row r="7" spans="2:5" ht="15" customHeight="1" x14ac:dyDescent="0.25">
      <c r="B7" s="2" t="s">
        <v>110</v>
      </c>
      <c r="C7" s="39"/>
      <c r="D7" s="71"/>
      <c r="E7" s="39"/>
    </row>
    <row r="8" spans="2:5" ht="15" customHeight="1" x14ac:dyDescent="0.25">
      <c r="B8" s="23"/>
      <c r="C8" s="4"/>
      <c r="D8" s="4" t="s">
        <v>111</v>
      </c>
      <c r="E8" s="5" t="s">
        <v>112</v>
      </c>
    </row>
    <row r="9" spans="2:5" ht="15" customHeight="1" x14ac:dyDescent="0.25">
      <c r="B9" t="s">
        <v>106</v>
      </c>
      <c r="C9" s="73">
        <f>+Assumptions!H7</f>
        <v>2.5</v>
      </c>
      <c r="D9" s="38">
        <f>+C9*D6</f>
        <v>30</v>
      </c>
      <c r="E9" s="38">
        <f>+MIN(D9,D12)</f>
        <v>30</v>
      </c>
    </row>
    <row r="10" spans="2:5" ht="15" customHeight="1" x14ac:dyDescent="0.25">
      <c r="B10" t="s">
        <v>107</v>
      </c>
      <c r="C10" s="73">
        <f>+Assumptions!H10</f>
        <v>1</v>
      </c>
      <c r="D10" s="38">
        <f>+C10*D6</f>
        <v>12</v>
      </c>
      <c r="E10" s="38">
        <f>+E11-E9</f>
        <v>12</v>
      </c>
    </row>
    <row r="11" spans="2:5" ht="15" customHeight="1" x14ac:dyDescent="0.25">
      <c r="B11" t="s">
        <v>109</v>
      </c>
      <c r="C11" s="73"/>
      <c r="D11" s="38">
        <f>+D9+D10</f>
        <v>42</v>
      </c>
      <c r="E11" s="38">
        <f>+IF(D11&gt;D12,D12,D11)</f>
        <v>42</v>
      </c>
    </row>
    <row r="12" spans="2:5" ht="15" customHeight="1" x14ac:dyDescent="0.25">
      <c r="B12" t="s">
        <v>108</v>
      </c>
      <c r="C12" s="74">
        <f>+Assumptions!H14</f>
        <v>0.6</v>
      </c>
      <c r="D12" s="38">
        <f>+C12*D2</f>
        <v>60</v>
      </c>
      <c r="E12" s="38"/>
    </row>
    <row r="13" spans="2:5" ht="15" customHeight="1" x14ac:dyDescent="0.25">
      <c r="B13" t="s">
        <v>113</v>
      </c>
      <c r="C13" s="61"/>
      <c r="D13" s="38">
        <f t="shared" ref="D13" si="0">+D4-D11</f>
        <v>60</v>
      </c>
      <c r="E13" s="38">
        <f>+D4-E11</f>
        <v>60</v>
      </c>
    </row>
    <row r="14" spans="2:5" x14ac:dyDescent="0.25">
      <c r="C14" s="70"/>
      <c r="D14" s="38"/>
    </row>
    <row r="15" spans="2:5" x14ac:dyDescent="0.25">
      <c r="C15" s="70"/>
      <c r="D15" s="38"/>
    </row>
    <row r="17" spans="2:12" ht="15" customHeight="1" x14ac:dyDescent="0.25">
      <c r="B17" s="2" t="s">
        <v>1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25">
      <c r="B18" s="23" t="s">
        <v>20</v>
      </c>
      <c r="C18" s="4"/>
      <c r="D18" s="4"/>
      <c r="E18" s="5">
        <v>2013</v>
      </c>
      <c r="F18" s="5">
        <v>2014</v>
      </c>
      <c r="G18" s="6">
        <f t="shared" ref="G18:K18" si="1">+F18+1</f>
        <v>2015</v>
      </c>
      <c r="H18" s="6">
        <f t="shared" si="1"/>
        <v>2016</v>
      </c>
      <c r="I18" s="6">
        <f t="shared" si="1"/>
        <v>2017</v>
      </c>
      <c r="J18" s="6">
        <f t="shared" si="1"/>
        <v>2018</v>
      </c>
      <c r="K18" s="6">
        <f t="shared" si="1"/>
        <v>2019</v>
      </c>
      <c r="L18" s="6" t="s">
        <v>10</v>
      </c>
    </row>
    <row r="19" spans="2:12" x14ac:dyDescent="0.25">
      <c r="B19" s="3" t="str">
        <f>+'Raw data'!C4</f>
        <v>Sales</v>
      </c>
      <c r="C19" s="53">
        <f>+'Company Financials'!C4</f>
        <v>0.15</v>
      </c>
      <c r="D19" s="3"/>
      <c r="E19" s="10">
        <f>+'Company Financials'!E4</f>
        <v>100</v>
      </c>
      <c r="F19" s="10">
        <f>+'Company Financials'!F4</f>
        <v>120</v>
      </c>
      <c r="G19" s="10">
        <f>+'Company Financials'!G4</f>
        <v>138</v>
      </c>
      <c r="H19" s="10">
        <f>+'Company Financials'!H4</f>
        <v>158.69999999999999</v>
      </c>
      <c r="I19" s="10">
        <f>+'Company Financials'!I4</f>
        <v>182.50499999999997</v>
      </c>
      <c r="J19" s="10">
        <f>+'Company Financials'!J4</f>
        <v>209.88074999999995</v>
      </c>
      <c r="K19" s="10">
        <f>+'Company Financials'!K4</f>
        <v>241.36286249999992</v>
      </c>
      <c r="L19" s="36">
        <f>+(K19/F19)^(1/5)-1</f>
        <v>0.14999999999999991</v>
      </c>
    </row>
    <row r="20" spans="2:12" x14ac:dyDescent="0.25">
      <c r="B20" t="str">
        <f>+'Raw data'!C5</f>
        <v>COGS</v>
      </c>
      <c r="E20" s="9">
        <f>+'Company Financials'!E5</f>
        <v>-50</v>
      </c>
      <c r="F20" s="9">
        <f>+'Company Financials'!F5</f>
        <v>-65</v>
      </c>
      <c r="G20" s="9">
        <f t="shared" ref="G20:K20" si="2">+G21-G19</f>
        <v>-71.760000000000005</v>
      </c>
      <c r="H20" s="9">
        <f t="shared" si="2"/>
        <v>-82.524000000000001</v>
      </c>
      <c r="I20" s="9">
        <f t="shared" si="2"/>
        <v>-94.902599999999993</v>
      </c>
      <c r="J20" s="9">
        <f t="shared" si="2"/>
        <v>-109.13798999999997</v>
      </c>
      <c r="K20" s="9">
        <f t="shared" si="2"/>
        <v>-125.50868849999996</v>
      </c>
      <c r="L20" s="36">
        <f t="shared" ref="L20:L26" si="3">+(K20/F20)^(1/5)-1</f>
        <v>0.14064916517495107</v>
      </c>
    </row>
    <row r="21" spans="2:12" x14ac:dyDescent="0.25">
      <c r="B21" s="3" t="s">
        <v>13</v>
      </c>
      <c r="E21" s="10">
        <f>+'Company Financials'!E6</f>
        <v>50</v>
      </c>
      <c r="F21" s="10">
        <f>+'Company Financials'!F6</f>
        <v>55</v>
      </c>
      <c r="G21" s="10">
        <f t="shared" ref="G21:K21" si="4">+G22*G19</f>
        <v>66.239999999999995</v>
      </c>
      <c r="H21" s="10">
        <f t="shared" si="4"/>
        <v>76.175999999999988</v>
      </c>
      <c r="I21" s="10">
        <f t="shared" si="4"/>
        <v>87.602399999999975</v>
      </c>
      <c r="J21" s="10">
        <f t="shared" si="4"/>
        <v>100.74275999999998</v>
      </c>
      <c r="K21" s="10">
        <f t="shared" si="4"/>
        <v>115.85417399999996</v>
      </c>
      <c r="L21" s="36">
        <f t="shared" si="3"/>
        <v>0.16067277897528442</v>
      </c>
    </row>
    <row r="22" spans="2:12" x14ac:dyDescent="0.25">
      <c r="B22" s="17" t="s">
        <v>3</v>
      </c>
      <c r="C22" s="19">
        <f>+'Company Financials'!C7</f>
        <v>0.48</v>
      </c>
      <c r="E22" s="18">
        <f t="shared" ref="E22:F22" si="5">+E21/E19</f>
        <v>0.5</v>
      </c>
      <c r="F22" s="18">
        <f t="shared" si="5"/>
        <v>0.45833333333333331</v>
      </c>
      <c r="G22" s="18">
        <f t="shared" ref="G22:K22" si="6">+$C$22</f>
        <v>0.48</v>
      </c>
      <c r="H22" s="18">
        <f t="shared" si="6"/>
        <v>0.48</v>
      </c>
      <c r="I22" s="18">
        <f t="shared" si="6"/>
        <v>0.48</v>
      </c>
      <c r="J22" s="18">
        <f t="shared" si="6"/>
        <v>0.48</v>
      </c>
      <c r="K22" s="18">
        <f t="shared" si="6"/>
        <v>0.48</v>
      </c>
      <c r="L22" s="36"/>
    </row>
    <row r="23" spans="2:12" x14ac:dyDescent="0.25">
      <c r="B23" t="str">
        <f>+'Raw data'!C7</f>
        <v>S&amp;M</v>
      </c>
      <c r="C23" s="16">
        <f>+'Company Financials'!C8</f>
        <v>0.2</v>
      </c>
      <c r="E23" s="9">
        <f>+'Raw data'!E7</f>
        <v>-20</v>
      </c>
      <c r="F23" s="9">
        <f>+'Raw data'!F7</f>
        <v>-22</v>
      </c>
      <c r="G23" s="9">
        <f t="shared" ref="G23:K24" si="7">-$C23*G$19</f>
        <v>-27.6</v>
      </c>
      <c r="H23" s="9">
        <f t="shared" si="7"/>
        <v>-31.74</v>
      </c>
      <c r="I23" s="9">
        <f t="shared" si="7"/>
        <v>-36.500999999999998</v>
      </c>
      <c r="J23" s="9">
        <f t="shared" si="7"/>
        <v>-41.97614999999999</v>
      </c>
      <c r="K23" s="9">
        <f t="shared" si="7"/>
        <v>-48.272572499999988</v>
      </c>
      <c r="L23" s="36">
        <f t="shared" si="3"/>
        <v>0.17018776375192557</v>
      </c>
    </row>
    <row r="24" spans="2:12" x14ac:dyDescent="0.25">
      <c r="B24" s="72" t="str">
        <f>+'Raw data'!C8</f>
        <v>Opex</v>
      </c>
      <c r="C24" s="95">
        <f>+'Company Financials'!C9</f>
        <v>0.15</v>
      </c>
      <c r="D24" s="72"/>
      <c r="E24" s="94">
        <f>+'Raw data'!E8</f>
        <v>-20</v>
      </c>
      <c r="F24" s="94">
        <f>+'Raw data'!F8</f>
        <v>-21</v>
      </c>
      <c r="G24" s="94">
        <f>-$C24*G$19</f>
        <v>-20.7</v>
      </c>
      <c r="H24" s="94">
        <f>-$C24*H$19</f>
        <v>-23.804999999999996</v>
      </c>
      <c r="I24" s="94">
        <f t="shared" si="7"/>
        <v>-27.375749999999993</v>
      </c>
      <c r="J24" s="94">
        <f t="shared" si="7"/>
        <v>-31.482112499999992</v>
      </c>
      <c r="K24" s="94">
        <f t="shared" si="7"/>
        <v>-36.204429374999989</v>
      </c>
      <c r="L24" s="36">
        <f t="shared" si="3"/>
        <v>0.11508630600991587</v>
      </c>
    </row>
    <row r="25" spans="2:12" x14ac:dyDescent="0.25">
      <c r="B25" s="11" t="s">
        <v>151</v>
      </c>
      <c r="C25" s="96">
        <v>1</v>
      </c>
      <c r="D25" s="11"/>
      <c r="E25" s="12"/>
      <c r="F25" s="12"/>
      <c r="G25" s="12">
        <f t="shared" ref="G25:K25" si="8">-(1-$C$25)*(G19+G20+G23+G24)</f>
        <v>0</v>
      </c>
      <c r="H25" s="12">
        <f t="shared" si="8"/>
        <v>0</v>
      </c>
      <c r="I25" s="12">
        <f t="shared" si="8"/>
        <v>0</v>
      </c>
      <c r="J25" s="12">
        <f t="shared" si="8"/>
        <v>0</v>
      </c>
      <c r="K25" s="12">
        <f t="shared" si="8"/>
        <v>0</v>
      </c>
      <c r="L25" s="36"/>
    </row>
    <row r="26" spans="2:12" x14ac:dyDescent="0.25">
      <c r="B26" s="13" t="str">
        <f>+'Raw data'!C9</f>
        <v>EBITDA</v>
      </c>
      <c r="C26" s="13"/>
      <c r="D26" s="13"/>
      <c r="E26" s="14">
        <f>+'Raw data'!E9</f>
        <v>10</v>
      </c>
      <c r="F26" s="14">
        <f>+'Raw data'!F9</f>
        <v>12</v>
      </c>
      <c r="G26" s="14">
        <f t="shared" ref="G26:K26" si="9">+G21+G23+G24+G25</f>
        <v>17.939999999999994</v>
      </c>
      <c r="H26" s="14">
        <f t="shared" si="9"/>
        <v>20.630999999999997</v>
      </c>
      <c r="I26" s="14">
        <f t="shared" si="9"/>
        <v>23.725649999999984</v>
      </c>
      <c r="J26" s="14">
        <f t="shared" si="9"/>
        <v>27.284497499999993</v>
      </c>
      <c r="K26" s="14">
        <f t="shared" si="9"/>
        <v>31.377172124999987</v>
      </c>
      <c r="L26" s="36">
        <f t="shared" si="3"/>
        <v>0.21195504487105077</v>
      </c>
    </row>
    <row r="27" spans="2:12" x14ac:dyDescent="0.25">
      <c r="B27" t="s">
        <v>7</v>
      </c>
      <c r="G27" s="38">
        <f>+G114</f>
        <v>-5</v>
      </c>
      <c r="H27" s="38">
        <f t="shared" ref="H27:K27" si="10">+H114</f>
        <v>-4.9660000000000002</v>
      </c>
      <c r="I27" s="38">
        <f t="shared" si="10"/>
        <v>-5.0837000000000003</v>
      </c>
      <c r="J27" s="38">
        <f t="shared" si="10"/>
        <v>-5.3444949999999993</v>
      </c>
      <c r="K27" s="38">
        <f t="shared" si="10"/>
        <v>-5.7447612499999998</v>
      </c>
    </row>
    <row r="28" spans="2:12" x14ac:dyDescent="0.25">
      <c r="B28" s="11" t="s">
        <v>8</v>
      </c>
      <c r="C28" s="11"/>
      <c r="D28" s="11"/>
      <c r="E28" s="11"/>
      <c r="F28" s="11"/>
      <c r="G28" s="51">
        <f t="shared" ref="G28:K28" si="11">+G148</f>
        <v>-2.94</v>
      </c>
      <c r="H28" s="51">
        <f t="shared" si="11"/>
        <v>-2.91143698630137</v>
      </c>
      <c r="I28" s="51">
        <f t="shared" si="11"/>
        <v>-2.9045402368493152</v>
      </c>
      <c r="J28" s="51">
        <f t="shared" si="11"/>
        <v>-2.9124559676679316</v>
      </c>
      <c r="K28" s="51">
        <f t="shared" si="11"/>
        <v>-2.936516119645908</v>
      </c>
    </row>
    <row r="29" spans="2:12" x14ac:dyDescent="0.25">
      <c r="B29" t="s">
        <v>15</v>
      </c>
      <c r="E29" s="9">
        <f>+E26+E27+E28</f>
        <v>10</v>
      </c>
      <c r="F29" s="9">
        <f t="shared" ref="F29:K29" si="12">+F26+F27+F28</f>
        <v>12</v>
      </c>
      <c r="G29" s="9">
        <f t="shared" si="12"/>
        <v>9.9999999999999947</v>
      </c>
      <c r="H29" s="9">
        <f t="shared" si="12"/>
        <v>12.753563013698626</v>
      </c>
      <c r="I29" s="9">
        <f t="shared" si="12"/>
        <v>15.737409763150669</v>
      </c>
      <c r="J29" s="9">
        <f t="shared" si="12"/>
        <v>19.027546532332064</v>
      </c>
      <c r="K29" s="9">
        <f t="shared" si="12"/>
        <v>22.695894755354079</v>
      </c>
      <c r="L29" s="36">
        <f t="shared" ref="L29" si="13">+(K29/F29)^(1/5)-1</f>
        <v>0.1359342977202882</v>
      </c>
    </row>
    <row r="30" spans="2:12" ht="15.75" thickBot="1" x14ac:dyDescent="0.3">
      <c r="B30" s="20" t="s">
        <v>9</v>
      </c>
      <c r="C30" s="68">
        <f>+'Company Financials'!C14</f>
        <v>0.28999999999999998</v>
      </c>
      <c r="D30" s="20"/>
      <c r="E30" s="22">
        <f>-$C$30*E29</f>
        <v>-2.9</v>
      </c>
      <c r="F30" s="22">
        <f t="shared" ref="F30:K30" si="14">-$C$30*F29</f>
        <v>-3.4799999999999995</v>
      </c>
      <c r="G30" s="22">
        <f t="shared" si="14"/>
        <v>-2.8999999999999981</v>
      </c>
      <c r="H30" s="22">
        <f t="shared" si="14"/>
        <v>-3.6985332739726013</v>
      </c>
      <c r="I30" s="22">
        <f t="shared" si="14"/>
        <v>-4.5638488313136936</v>
      </c>
      <c r="J30" s="22">
        <f t="shared" si="14"/>
        <v>-5.517988494376298</v>
      </c>
      <c r="K30" s="22">
        <f t="shared" si="14"/>
        <v>-6.5818094790526827</v>
      </c>
    </row>
    <row r="31" spans="2:12" ht="15.75" thickTop="1" x14ac:dyDescent="0.25">
      <c r="B31" s="3" t="s">
        <v>16</v>
      </c>
      <c r="C31" s="3"/>
      <c r="D31" s="3"/>
      <c r="E31" s="10">
        <f>+E29+E30</f>
        <v>7.1</v>
      </c>
      <c r="F31" s="10">
        <f t="shared" ref="F31:K31" si="15">+F29+F30</f>
        <v>8.52</v>
      </c>
      <c r="G31" s="10">
        <f t="shared" si="15"/>
        <v>7.0999999999999961</v>
      </c>
      <c r="H31" s="10">
        <f t="shared" si="15"/>
        <v>9.0550297397260238</v>
      </c>
      <c r="I31" s="10">
        <f t="shared" si="15"/>
        <v>11.173560931836976</v>
      </c>
      <c r="J31" s="10">
        <f t="shared" si="15"/>
        <v>13.509558037955767</v>
      </c>
      <c r="K31" s="10">
        <f t="shared" si="15"/>
        <v>16.114085276301395</v>
      </c>
      <c r="L31" s="36">
        <f t="shared" ref="L31" si="16">+(K31/F31)^(1/5)-1</f>
        <v>0.1359342977202882</v>
      </c>
    </row>
    <row r="34" spans="2:12" x14ac:dyDescent="0.25">
      <c r="B34" s="2" t="s">
        <v>18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25">
      <c r="B35" s="4" t="str">
        <f>+B18</f>
        <v>C$ - MM</v>
      </c>
      <c r="C35" s="4"/>
      <c r="D35" s="4"/>
      <c r="E35" s="5">
        <v>2013</v>
      </c>
      <c r="F35" s="5">
        <v>2014</v>
      </c>
      <c r="G35" s="6">
        <f t="shared" ref="G35:K35" si="17">+F35+1</f>
        <v>2015</v>
      </c>
      <c r="H35" s="6">
        <f t="shared" si="17"/>
        <v>2016</v>
      </c>
      <c r="I35" s="6">
        <f t="shared" si="17"/>
        <v>2017</v>
      </c>
      <c r="J35" s="6">
        <f t="shared" si="17"/>
        <v>2018</v>
      </c>
      <c r="K35" s="6">
        <f t="shared" si="17"/>
        <v>2019</v>
      </c>
      <c r="L35" s="6" t="s">
        <v>10</v>
      </c>
    </row>
    <row r="36" spans="2:12" x14ac:dyDescent="0.25">
      <c r="B36" t="s">
        <v>19</v>
      </c>
      <c r="E36" s="9">
        <v>-3</v>
      </c>
      <c r="F36" s="9">
        <v>-4</v>
      </c>
      <c r="G36" s="9">
        <f>-G37*G19</f>
        <v>-4.83</v>
      </c>
      <c r="H36" s="9">
        <f t="shared" ref="H36:K36" si="18">-H37*H19</f>
        <v>-5.5545</v>
      </c>
      <c r="I36" s="9">
        <f t="shared" si="18"/>
        <v>-6.3876749999999998</v>
      </c>
      <c r="J36" s="9">
        <f t="shared" si="18"/>
        <v>-7.3458262499999991</v>
      </c>
      <c r="K36" s="9">
        <f t="shared" si="18"/>
        <v>-8.4477001874999988</v>
      </c>
      <c r="L36" s="36">
        <f t="shared" ref="L36" si="19">+(K36/F36)^(1/5)-1</f>
        <v>0.16127666732450807</v>
      </c>
    </row>
    <row r="37" spans="2:12" x14ac:dyDescent="0.25">
      <c r="B37" t="s">
        <v>22</v>
      </c>
      <c r="C37" s="24">
        <f>+Assumptions!D9</f>
        <v>3.5000000000000003E-2</v>
      </c>
      <c r="E37" s="18">
        <f t="shared" ref="E37:F37" si="20">-E36/E19</f>
        <v>0.03</v>
      </c>
      <c r="F37" s="18">
        <f t="shared" si="20"/>
        <v>3.3333333333333333E-2</v>
      </c>
      <c r="G37" s="18">
        <f>+$C$37</f>
        <v>3.5000000000000003E-2</v>
      </c>
      <c r="H37" s="18">
        <f t="shared" ref="H37:K37" si="21">+$C$37</f>
        <v>3.5000000000000003E-2</v>
      </c>
      <c r="I37" s="18">
        <f t="shared" si="21"/>
        <v>3.5000000000000003E-2</v>
      </c>
      <c r="J37" s="18">
        <f t="shared" si="21"/>
        <v>3.5000000000000003E-2</v>
      </c>
      <c r="K37" s="18">
        <f t="shared" si="21"/>
        <v>3.5000000000000003E-2</v>
      </c>
    </row>
    <row r="40" spans="2:12" x14ac:dyDescent="0.25">
      <c r="B40" s="2" t="s">
        <v>23</v>
      </c>
      <c r="C40" s="2"/>
      <c r="D40" s="2"/>
      <c r="E40" s="2"/>
      <c r="F40" s="2"/>
      <c r="G40" s="2"/>
      <c r="H40" s="2"/>
      <c r="I40" s="2"/>
      <c r="J40" s="2"/>
      <c r="K40" s="2"/>
    </row>
    <row r="41" spans="2:12" x14ac:dyDescent="0.25">
      <c r="B41" s="4" t="str">
        <f>+B35</f>
        <v>C$ - MM</v>
      </c>
      <c r="C41" s="4"/>
      <c r="D41" s="4"/>
      <c r="E41" s="5">
        <v>2013</v>
      </c>
      <c r="F41" s="5">
        <v>2014</v>
      </c>
      <c r="G41" s="6">
        <f t="shared" ref="G41:K41" si="22">+F41+1</f>
        <v>2015</v>
      </c>
      <c r="H41" s="6">
        <f t="shared" si="22"/>
        <v>2016</v>
      </c>
      <c r="I41" s="6">
        <f t="shared" si="22"/>
        <v>2017</v>
      </c>
      <c r="J41" s="6">
        <f t="shared" si="22"/>
        <v>2018</v>
      </c>
      <c r="K41" s="6">
        <f t="shared" si="22"/>
        <v>2019</v>
      </c>
    </row>
    <row r="42" spans="2:12" x14ac:dyDescent="0.25">
      <c r="B42" s="25" t="s">
        <v>32</v>
      </c>
      <c r="C42" s="25"/>
      <c r="D42" s="25"/>
      <c r="E42" s="26"/>
      <c r="F42" s="26"/>
      <c r="G42" s="27"/>
      <c r="H42" s="27"/>
      <c r="I42" s="27"/>
      <c r="J42" s="27"/>
      <c r="K42" s="27"/>
    </row>
    <row r="43" spans="2:12" x14ac:dyDescent="0.25">
      <c r="B43" t="s">
        <v>24</v>
      </c>
      <c r="E43" s="9"/>
      <c r="F43" s="8">
        <f>+'LBO Model Acquisition BS'!K15</f>
        <v>0</v>
      </c>
      <c r="G43" s="7">
        <f>+G84</f>
        <v>1.3863013698630144</v>
      </c>
      <c r="H43" s="7">
        <f t="shared" ref="H43:K43" si="23">+H84</f>
        <v>2.6795763150684859</v>
      </c>
      <c r="I43" s="7">
        <f t="shared" si="23"/>
        <v>4.8140352332068517</v>
      </c>
      <c r="J43" s="7">
        <f t="shared" si="23"/>
        <v>7.9351758754091826</v>
      </c>
      <c r="K43" s="7">
        <f t="shared" si="23"/>
        <v>12.202980256994154</v>
      </c>
    </row>
    <row r="44" spans="2:12" x14ac:dyDescent="0.25">
      <c r="B44" t="s">
        <v>25</v>
      </c>
      <c r="C44" s="24"/>
      <c r="E44" s="18"/>
      <c r="F44" s="8">
        <f>+'LBO Model Acquisition BS'!K16</f>
        <v>10</v>
      </c>
      <c r="G44" s="48">
        <f>+G95</f>
        <v>11.342465753424657</v>
      </c>
      <c r="H44" s="48">
        <f t="shared" ref="H44:K44" si="24">+H95</f>
        <v>13.043835616438356</v>
      </c>
      <c r="I44" s="48">
        <f t="shared" si="24"/>
        <v>15.000410958904107</v>
      </c>
      <c r="J44" s="48">
        <f t="shared" si="24"/>
        <v>17.250472602739723</v>
      </c>
      <c r="K44" s="48">
        <f t="shared" si="24"/>
        <v>19.838043493150678</v>
      </c>
    </row>
    <row r="45" spans="2:12" x14ac:dyDescent="0.25">
      <c r="B45" t="s">
        <v>26</v>
      </c>
      <c r="F45" s="8">
        <f>+'LBO Model Acquisition BS'!K17</f>
        <v>30</v>
      </c>
      <c r="G45" s="7">
        <f>+G98</f>
        <v>34.027397260273972</v>
      </c>
      <c r="H45" s="7">
        <f t="shared" ref="H45:K45" si="25">+H98</f>
        <v>39.131506849315066</v>
      </c>
      <c r="I45" s="7">
        <f t="shared" si="25"/>
        <v>45.001232876712322</v>
      </c>
      <c r="J45" s="7">
        <f t="shared" si="25"/>
        <v>51.751417808219166</v>
      </c>
      <c r="K45" s="7">
        <f t="shared" si="25"/>
        <v>59.514130479452035</v>
      </c>
    </row>
    <row r="46" spans="2:12" x14ac:dyDescent="0.25">
      <c r="B46" s="11" t="s">
        <v>27</v>
      </c>
      <c r="C46" s="11"/>
      <c r="D46" s="11"/>
      <c r="E46" s="11"/>
      <c r="F46" s="29">
        <f>+'LBO Model Acquisition BS'!K18</f>
        <v>5</v>
      </c>
      <c r="G46" s="29">
        <f>+G101</f>
        <v>5</v>
      </c>
      <c r="H46" s="29">
        <f t="shared" ref="H46:K46" si="26">+H101</f>
        <v>5</v>
      </c>
      <c r="I46" s="29">
        <f t="shared" si="26"/>
        <v>5</v>
      </c>
      <c r="J46" s="29">
        <f t="shared" si="26"/>
        <v>5</v>
      </c>
      <c r="K46" s="29">
        <f t="shared" si="26"/>
        <v>5</v>
      </c>
    </row>
    <row r="47" spans="2:12" x14ac:dyDescent="0.25">
      <c r="B47" s="3" t="s">
        <v>28</v>
      </c>
      <c r="C47" s="3"/>
      <c r="D47" s="3"/>
      <c r="E47" s="3"/>
      <c r="F47" s="30">
        <f t="shared" ref="F47:G47" si="27">SUM(F43:F46)</f>
        <v>45</v>
      </c>
      <c r="G47" s="52">
        <f t="shared" si="27"/>
        <v>51.756164383561639</v>
      </c>
      <c r="H47" s="52">
        <f t="shared" ref="H47:K47" si="28">SUM(H43:H46)</f>
        <v>59.854918780821905</v>
      </c>
      <c r="I47" s="52">
        <f t="shared" si="28"/>
        <v>69.815679068823272</v>
      </c>
      <c r="J47" s="52">
        <f t="shared" si="28"/>
        <v>81.937066286368065</v>
      </c>
      <c r="K47" s="52">
        <f t="shared" si="28"/>
        <v>96.555154229596866</v>
      </c>
    </row>
    <row r="48" spans="2:12" x14ac:dyDescent="0.25">
      <c r="B48" t="s">
        <v>29</v>
      </c>
      <c r="F48" s="8">
        <f>+'LBO Model Acquisition BS'!K20</f>
        <v>25</v>
      </c>
      <c r="G48" s="7">
        <f>+G115</f>
        <v>24.83</v>
      </c>
      <c r="H48" s="7">
        <f t="shared" ref="H48:K48" si="29">+H115</f>
        <v>25.418499999999998</v>
      </c>
      <c r="I48" s="7">
        <f t="shared" si="29"/>
        <v>26.722474999999996</v>
      </c>
      <c r="J48" s="7">
        <f t="shared" si="29"/>
        <v>28.723806249999999</v>
      </c>
      <c r="K48" s="7">
        <f t="shared" si="29"/>
        <v>31.4267451875</v>
      </c>
    </row>
    <row r="49" spans="2:11" ht="15.75" thickBot="1" x14ac:dyDescent="0.3">
      <c r="B49" s="20" t="s">
        <v>30</v>
      </c>
      <c r="C49" s="20"/>
      <c r="D49" s="20"/>
      <c r="E49" s="20"/>
      <c r="F49" s="22">
        <f>+'LBO Model Acquisition BS'!K21</f>
        <v>40</v>
      </c>
      <c r="G49" s="22">
        <f>+F49</f>
        <v>40</v>
      </c>
      <c r="H49" s="22">
        <f t="shared" ref="H49:K49" si="30">+G49</f>
        <v>40</v>
      </c>
      <c r="I49" s="22">
        <f t="shared" si="30"/>
        <v>40</v>
      </c>
      <c r="J49" s="22">
        <f t="shared" si="30"/>
        <v>40</v>
      </c>
      <c r="K49" s="22">
        <f t="shared" si="30"/>
        <v>40</v>
      </c>
    </row>
    <row r="50" spans="2:11" ht="15.75" thickTop="1" x14ac:dyDescent="0.25">
      <c r="B50" s="3" t="s">
        <v>31</v>
      </c>
      <c r="C50" s="3"/>
      <c r="D50" s="3"/>
      <c r="E50" s="3"/>
      <c r="F50" s="15">
        <f t="shared" ref="F50:G50" si="31">+F47+F48+F49</f>
        <v>110</v>
      </c>
      <c r="G50" s="15">
        <f t="shared" si="31"/>
        <v>116.58616438356164</v>
      </c>
      <c r="H50" s="15">
        <f t="shared" ref="H50:K50" si="32">+H47+H48+H49</f>
        <v>125.2734187808219</v>
      </c>
      <c r="I50" s="15">
        <f t="shared" si="32"/>
        <v>136.53815406882327</v>
      </c>
      <c r="J50" s="15">
        <f t="shared" si="32"/>
        <v>150.66087253636806</v>
      </c>
      <c r="K50" s="15">
        <f t="shared" si="32"/>
        <v>167.98189941709688</v>
      </c>
    </row>
    <row r="51" spans="2:11" x14ac:dyDescent="0.25">
      <c r="F51" s="7"/>
      <c r="G51" s="7"/>
      <c r="H51" s="7"/>
      <c r="I51" s="7"/>
      <c r="J51" s="7"/>
      <c r="K51" s="7"/>
    </row>
    <row r="52" spans="2:11" x14ac:dyDescent="0.25">
      <c r="B52" s="25" t="s">
        <v>33</v>
      </c>
      <c r="F52" s="7"/>
      <c r="G52" s="7"/>
      <c r="H52" s="7"/>
      <c r="I52" s="7"/>
      <c r="J52" s="7"/>
      <c r="K52" s="7"/>
    </row>
    <row r="53" spans="2:11" x14ac:dyDescent="0.25">
      <c r="B53" t="s">
        <v>34</v>
      </c>
      <c r="F53" s="7">
        <f>+'LBO Model Acquisition BS'!K25</f>
        <v>0</v>
      </c>
      <c r="G53" s="7"/>
      <c r="H53" s="7"/>
      <c r="I53" s="7"/>
      <c r="J53" s="7"/>
      <c r="K53" s="7"/>
    </row>
    <row r="54" spans="2:11" x14ac:dyDescent="0.25">
      <c r="B54" t="s">
        <v>35</v>
      </c>
      <c r="F54" s="8">
        <f>+'LBO Model Acquisition BS'!K26</f>
        <v>3.75</v>
      </c>
      <c r="G54" s="7">
        <f>+G127</f>
        <v>3.75</v>
      </c>
      <c r="H54" s="7">
        <f t="shared" ref="H54:K54" si="33">+H127</f>
        <v>3.75</v>
      </c>
      <c r="I54" s="7">
        <f t="shared" si="33"/>
        <v>3.75</v>
      </c>
      <c r="J54" s="7">
        <f t="shared" si="33"/>
        <v>3.75</v>
      </c>
      <c r="K54" s="7">
        <f t="shared" si="33"/>
        <v>3.75</v>
      </c>
    </row>
    <row r="55" spans="2:11" x14ac:dyDescent="0.25">
      <c r="B55" t="s">
        <v>36</v>
      </c>
      <c r="F55" s="8">
        <f>+'LBO Model Acquisition BS'!K27</f>
        <v>10</v>
      </c>
      <c r="G55" s="7">
        <f>+G103</f>
        <v>11.796164383561646</v>
      </c>
      <c r="H55" s="7">
        <f t="shared" ref="H55:K55" si="34">+H103</f>
        <v>13.565589041095892</v>
      </c>
      <c r="I55" s="7">
        <f t="shared" si="34"/>
        <v>15.600427397260274</v>
      </c>
      <c r="J55" s="7">
        <f t="shared" si="34"/>
        <v>17.940491506849312</v>
      </c>
      <c r="K55" s="7">
        <f t="shared" si="34"/>
        <v>20.631565232876707</v>
      </c>
    </row>
    <row r="56" spans="2:11" x14ac:dyDescent="0.25">
      <c r="B56" s="13" t="s">
        <v>37</v>
      </c>
      <c r="C56" s="13"/>
      <c r="D56" s="13"/>
      <c r="E56" s="13"/>
      <c r="F56" s="31">
        <f t="shared" ref="F56:G56" si="35">SUM(F53:F55)</f>
        <v>13.75</v>
      </c>
      <c r="G56" s="31">
        <f t="shared" si="35"/>
        <v>15.546164383561646</v>
      </c>
      <c r="H56" s="31">
        <f t="shared" ref="H56:K56" si="36">SUM(H53:H55)</f>
        <v>17.31558904109589</v>
      </c>
      <c r="I56" s="31">
        <f t="shared" si="36"/>
        <v>19.350427397260276</v>
      </c>
      <c r="J56" s="31">
        <f t="shared" si="36"/>
        <v>21.690491506849312</v>
      </c>
      <c r="K56" s="31">
        <f t="shared" si="36"/>
        <v>24.381565232876707</v>
      </c>
    </row>
    <row r="57" spans="2:11" x14ac:dyDescent="0.25">
      <c r="B57" t="s">
        <v>38</v>
      </c>
      <c r="F57" s="8">
        <f>+'LBO Model Acquisition BS'!K29</f>
        <v>26.25</v>
      </c>
      <c r="G57" s="7">
        <f>+G128</f>
        <v>22.5</v>
      </c>
      <c r="H57" s="7">
        <f t="shared" ref="H57:K57" si="37">+H128</f>
        <v>18.75</v>
      </c>
      <c r="I57" s="7">
        <f t="shared" si="37"/>
        <v>15</v>
      </c>
      <c r="J57" s="7">
        <f t="shared" si="37"/>
        <v>11.25</v>
      </c>
      <c r="K57" s="7">
        <f t="shared" si="37"/>
        <v>7.5</v>
      </c>
    </row>
    <row r="58" spans="2:11" x14ac:dyDescent="0.25">
      <c r="B58" t="s">
        <v>130</v>
      </c>
      <c r="F58" s="8">
        <f>+'LBO Model Acquisition BS'!K30</f>
        <v>12</v>
      </c>
      <c r="G58" s="7">
        <f t="shared" ref="G58:K58" si="38">+G134</f>
        <v>13.44</v>
      </c>
      <c r="H58" s="7">
        <f t="shared" si="38"/>
        <v>15.0528</v>
      </c>
      <c r="I58" s="7">
        <f t="shared" si="38"/>
        <v>16.859135999999999</v>
      </c>
      <c r="J58" s="7">
        <f t="shared" si="38"/>
        <v>18.88223232</v>
      </c>
      <c r="K58" s="7">
        <f t="shared" si="38"/>
        <v>21.148100198400002</v>
      </c>
    </row>
    <row r="59" spans="2:11" ht="15.75" thickBot="1" x14ac:dyDescent="0.3">
      <c r="B59" t="s">
        <v>39</v>
      </c>
      <c r="F59" s="8">
        <f>+'LBO Model Acquisition BS'!K31</f>
        <v>58</v>
      </c>
      <c r="G59" s="7">
        <f>+F59+G31+G76+G77</f>
        <v>65.099999999999994</v>
      </c>
      <c r="H59" s="7">
        <f t="shared" ref="H59:K59" si="39">+G59+H31+H76+H77</f>
        <v>74.155029739726018</v>
      </c>
      <c r="I59" s="7">
        <f t="shared" si="39"/>
        <v>85.328590671562992</v>
      </c>
      <c r="J59" s="7">
        <f t="shared" si="39"/>
        <v>98.838148709518762</v>
      </c>
      <c r="K59" s="7">
        <f t="shared" si="39"/>
        <v>114.95223398582016</v>
      </c>
    </row>
    <row r="60" spans="2:11" ht="15.75" thickTop="1" x14ac:dyDescent="0.25">
      <c r="B60" s="28" t="s">
        <v>40</v>
      </c>
      <c r="C60" s="28"/>
      <c r="D60" s="28"/>
      <c r="E60" s="28"/>
      <c r="F60" s="32">
        <f t="shared" ref="F60:K60" si="40">+F56+F57+F59+F58</f>
        <v>110</v>
      </c>
      <c r="G60" s="32">
        <f t="shared" si="40"/>
        <v>116.58616438356164</v>
      </c>
      <c r="H60" s="32">
        <f t="shared" si="40"/>
        <v>125.27341878082191</v>
      </c>
      <c r="I60" s="32">
        <f t="shared" si="40"/>
        <v>136.53815406882327</v>
      </c>
      <c r="J60" s="32">
        <f t="shared" si="40"/>
        <v>150.66087253636806</v>
      </c>
      <c r="K60" s="32">
        <f t="shared" si="40"/>
        <v>167.98189941709688</v>
      </c>
    </row>
    <row r="61" spans="2:11" x14ac:dyDescent="0.25">
      <c r="B61" s="17" t="s">
        <v>41</v>
      </c>
      <c r="F61" s="33">
        <f t="shared" ref="F61:G61" si="41">+F60-F50</f>
        <v>0</v>
      </c>
      <c r="G61" s="38">
        <f t="shared" si="41"/>
        <v>0</v>
      </c>
      <c r="H61" s="38">
        <f t="shared" ref="H61:K61" si="42">+H60-H50</f>
        <v>0</v>
      </c>
      <c r="I61" s="38">
        <f t="shared" si="42"/>
        <v>0</v>
      </c>
      <c r="J61" s="38">
        <f t="shared" si="42"/>
        <v>0</v>
      </c>
      <c r="K61" s="38">
        <f t="shared" si="42"/>
        <v>0</v>
      </c>
    </row>
    <row r="63" spans="2:11" x14ac:dyDescent="0.25">
      <c r="B63" s="2" t="s">
        <v>42</v>
      </c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5">
      <c r="B64" s="4" t="str">
        <f>+B41</f>
        <v>C$ - MM</v>
      </c>
      <c r="C64" s="4"/>
      <c r="D64" s="4"/>
      <c r="E64" s="5">
        <v>2013</v>
      </c>
      <c r="F64" s="5">
        <v>2014</v>
      </c>
      <c r="G64" s="6">
        <f t="shared" ref="G64:K64" si="43">+F64+1</f>
        <v>2015</v>
      </c>
      <c r="H64" s="6">
        <f t="shared" si="43"/>
        <v>2016</v>
      </c>
      <c r="I64" s="6">
        <f t="shared" si="43"/>
        <v>2017</v>
      </c>
      <c r="J64" s="6">
        <f t="shared" si="43"/>
        <v>2018</v>
      </c>
      <c r="K64" s="6">
        <f t="shared" si="43"/>
        <v>2019</v>
      </c>
    </row>
    <row r="65" spans="2:11" x14ac:dyDescent="0.25">
      <c r="B65" t="s">
        <v>43</v>
      </c>
      <c r="G65" s="9">
        <f>+G31</f>
        <v>7.0999999999999961</v>
      </c>
      <c r="H65" s="9">
        <f t="shared" ref="H65:K65" si="44">+H31</f>
        <v>9.0550297397260238</v>
      </c>
      <c r="I65" s="9">
        <f t="shared" si="44"/>
        <v>11.173560931836976</v>
      </c>
      <c r="J65" s="9">
        <f t="shared" si="44"/>
        <v>13.509558037955767</v>
      </c>
      <c r="K65" s="9">
        <f t="shared" si="44"/>
        <v>16.114085276301395</v>
      </c>
    </row>
    <row r="66" spans="2:11" x14ac:dyDescent="0.25">
      <c r="B66" t="s">
        <v>7</v>
      </c>
      <c r="G66" s="38">
        <f t="shared" ref="G66:K66" si="45">-G27</f>
        <v>5</v>
      </c>
      <c r="H66" s="38">
        <f t="shared" si="45"/>
        <v>4.9660000000000002</v>
      </c>
      <c r="I66" s="38">
        <f t="shared" si="45"/>
        <v>5.0837000000000003</v>
      </c>
      <c r="J66" s="38">
        <f t="shared" si="45"/>
        <v>5.3444949999999993</v>
      </c>
      <c r="K66" s="38">
        <f t="shared" si="45"/>
        <v>5.7447612499999998</v>
      </c>
    </row>
    <row r="67" spans="2:11" x14ac:dyDescent="0.25">
      <c r="B67" t="s">
        <v>66</v>
      </c>
      <c r="G67" s="38">
        <f>-G107</f>
        <v>-3.5736986301369811</v>
      </c>
      <c r="H67" s="38">
        <f t="shared" ref="H67:K67" si="46">-H107</f>
        <v>-5.0360547945205525</v>
      </c>
      <c r="I67" s="38">
        <f t="shared" si="46"/>
        <v>-5.7914630136986105</v>
      </c>
      <c r="J67" s="38">
        <f t="shared" si="46"/>
        <v>-6.6601824657534365</v>
      </c>
      <c r="K67" s="38">
        <f t="shared" si="46"/>
        <v>-7.6592098356164229</v>
      </c>
    </row>
    <row r="68" spans="2:11" x14ac:dyDescent="0.25">
      <c r="B68" t="s">
        <v>140</v>
      </c>
      <c r="G68" s="38">
        <f t="shared" ref="G68:K68" si="47">G133</f>
        <v>1.44</v>
      </c>
      <c r="H68" s="38">
        <f t="shared" si="47"/>
        <v>1.6127999999999998</v>
      </c>
      <c r="I68" s="38">
        <f t="shared" si="47"/>
        <v>1.8063359999999999</v>
      </c>
      <c r="J68" s="38">
        <f t="shared" si="47"/>
        <v>2.0230963200000001</v>
      </c>
      <c r="K68" s="38">
        <f t="shared" si="47"/>
        <v>2.2658678783999999</v>
      </c>
    </row>
    <row r="69" spans="2:11" x14ac:dyDescent="0.25">
      <c r="B69" s="13" t="s">
        <v>45</v>
      </c>
      <c r="C69" s="13"/>
      <c r="D69" s="13"/>
      <c r="E69" s="13"/>
      <c r="F69" s="13"/>
      <c r="G69" s="14">
        <f>+G65+G66+G68+G67</f>
        <v>9.9663013698630145</v>
      </c>
      <c r="H69" s="14">
        <f t="shared" ref="H69:K69" si="48">+H65+H66+H68+H67</f>
        <v>10.597774945205472</v>
      </c>
      <c r="I69" s="14">
        <f t="shared" si="48"/>
        <v>12.272133918138366</v>
      </c>
      <c r="J69" s="14">
        <f t="shared" si="48"/>
        <v>14.216966892202329</v>
      </c>
      <c r="K69" s="14">
        <f t="shared" si="48"/>
        <v>16.46550456908497</v>
      </c>
    </row>
    <row r="70" spans="2:11" x14ac:dyDescent="0.25">
      <c r="G70" s="33"/>
      <c r="H70" s="33"/>
      <c r="I70" s="33"/>
      <c r="J70" s="33"/>
      <c r="K70" s="33"/>
    </row>
    <row r="71" spans="2:11" x14ac:dyDescent="0.25">
      <c r="B71" t="s">
        <v>46</v>
      </c>
      <c r="G71" s="38">
        <f>+G36</f>
        <v>-4.83</v>
      </c>
      <c r="H71" s="38">
        <f t="shared" ref="H71:K71" si="49">+H36</f>
        <v>-5.5545</v>
      </c>
      <c r="I71" s="38">
        <f t="shared" si="49"/>
        <v>-6.3876749999999998</v>
      </c>
      <c r="J71" s="38">
        <f t="shared" si="49"/>
        <v>-7.3458262499999991</v>
      </c>
      <c r="K71" s="38">
        <f t="shared" si="49"/>
        <v>-8.4477001874999988</v>
      </c>
    </row>
    <row r="72" spans="2:11" x14ac:dyDescent="0.25">
      <c r="B72" s="13" t="s">
        <v>47</v>
      </c>
      <c r="C72" s="13"/>
      <c r="D72" s="13"/>
      <c r="E72" s="13"/>
      <c r="F72" s="13"/>
      <c r="G72" s="49">
        <f>+G71</f>
        <v>-4.83</v>
      </c>
      <c r="H72" s="49">
        <f t="shared" ref="H72:K72" si="50">+H71</f>
        <v>-5.5545</v>
      </c>
      <c r="I72" s="49">
        <f t="shared" si="50"/>
        <v>-6.3876749999999998</v>
      </c>
      <c r="J72" s="49">
        <f t="shared" si="50"/>
        <v>-7.3458262499999991</v>
      </c>
      <c r="K72" s="49">
        <f t="shared" si="50"/>
        <v>-8.4477001874999988</v>
      </c>
    </row>
    <row r="74" spans="2:11" x14ac:dyDescent="0.25">
      <c r="B74" t="s">
        <v>52</v>
      </c>
      <c r="G74" s="33"/>
      <c r="H74" s="33"/>
      <c r="I74" s="33"/>
      <c r="J74" s="33"/>
      <c r="K74" s="33"/>
    </row>
    <row r="75" spans="2:11" x14ac:dyDescent="0.25">
      <c r="B75" t="s">
        <v>48</v>
      </c>
      <c r="G75" s="38">
        <f>+G122</f>
        <v>-3.75</v>
      </c>
      <c r="H75" s="38">
        <f t="shared" ref="H75:K75" si="51">+H122</f>
        <v>-3.75</v>
      </c>
      <c r="I75" s="38">
        <f t="shared" si="51"/>
        <v>-3.75</v>
      </c>
      <c r="J75" s="38">
        <f t="shared" si="51"/>
        <v>-3.75</v>
      </c>
      <c r="K75" s="38">
        <f t="shared" si="51"/>
        <v>-3.75</v>
      </c>
    </row>
    <row r="76" spans="2:11" x14ac:dyDescent="0.25">
      <c r="B76" t="s">
        <v>49</v>
      </c>
      <c r="G76" s="33"/>
      <c r="H76" s="33"/>
      <c r="I76" s="33"/>
      <c r="J76" s="33"/>
      <c r="K76" s="33"/>
    </row>
    <row r="77" spans="2:11" x14ac:dyDescent="0.25">
      <c r="B77" t="s">
        <v>51</v>
      </c>
      <c r="G77" s="33"/>
      <c r="H77" s="33"/>
      <c r="I77" s="33"/>
      <c r="J77" s="33"/>
      <c r="K77" s="33"/>
    </row>
    <row r="78" spans="2:11" x14ac:dyDescent="0.25">
      <c r="B78" s="13" t="s">
        <v>50</v>
      </c>
      <c r="C78" s="13"/>
      <c r="D78" s="13"/>
      <c r="E78" s="13"/>
      <c r="F78" s="13"/>
      <c r="G78" s="49">
        <f>+G77+G76+G75+G74</f>
        <v>-3.75</v>
      </c>
      <c r="H78" s="49">
        <f t="shared" ref="H78:K78" si="52">+H77+H76+H75+H74</f>
        <v>-3.75</v>
      </c>
      <c r="I78" s="49">
        <f t="shared" si="52"/>
        <v>-3.75</v>
      </c>
      <c r="J78" s="49">
        <f t="shared" si="52"/>
        <v>-3.75</v>
      </c>
      <c r="K78" s="49">
        <f t="shared" si="52"/>
        <v>-3.75</v>
      </c>
    </row>
    <row r="79" spans="2:11" ht="15.75" thickBot="1" x14ac:dyDescent="0.3"/>
    <row r="80" spans="2:11" ht="15.75" thickTop="1" x14ac:dyDescent="0.25">
      <c r="B80" s="28" t="s">
        <v>53</v>
      </c>
      <c r="C80" s="28"/>
      <c r="D80" s="28"/>
      <c r="E80" s="28">
        <f>+E78+E72+E69</f>
        <v>0</v>
      </c>
      <c r="F80" s="28">
        <f t="shared" ref="F80:K80" si="53">+F78+F72+F69</f>
        <v>0</v>
      </c>
      <c r="G80" s="32">
        <f t="shared" si="53"/>
        <v>1.3863013698630144</v>
      </c>
      <c r="H80" s="32">
        <f t="shared" si="53"/>
        <v>1.2932749452054715</v>
      </c>
      <c r="I80" s="32">
        <f t="shared" si="53"/>
        <v>2.1344589181383657</v>
      </c>
      <c r="J80" s="32">
        <f t="shared" si="53"/>
        <v>3.1211406422023309</v>
      </c>
      <c r="K80" s="32">
        <f t="shared" si="53"/>
        <v>4.2678043815849716</v>
      </c>
    </row>
    <row r="82" spans="2:11" x14ac:dyDescent="0.25">
      <c r="B82" t="s">
        <v>54</v>
      </c>
      <c r="G82" s="9">
        <f>+F84</f>
        <v>0</v>
      </c>
      <c r="H82" s="9">
        <f t="shared" ref="H82:K82" si="54">+G84</f>
        <v>1.3863013698630144</v>
      </c>
      <c r="I82" s="9">
        <f t="shared" si="54"/>
        <v>2.6795763150684859</v>
      </c>
      <c r="J82" s="9">
        <f t="shared" si="54"/>
        <v>4.8140352332068517</v>
      </c>
      <c r="K82" s="9">
        <f t="shared" si="54"/>
        <v>7.9351758754091826</v>
      </c>
    </row>
    <row r="83" spans="2:11" x14ac:dyDescent="0.25">
      <c r="B83" t="s">
        <v>55</v>
      </c>
      <c r="G83" s="7">
        <f>+G80</f>
        <v>1.3863013698630144</v>
      </c>
      <c r="H83" s="7">
        <f t="shared" ref="H83:K83" si="55">+H80</f>
        <v>1.2932749452054715</v>
      </c>
      <c r="I83" s="7">
        <f t="shared" si="55"/>
        <v>2.1344589181383657</v>
      </c>
      <c r="J83" s="7">
        <f t="shared" si="55"/>
        <v>3.1211406422023309</v>
      </c>
      <c r="K83" s="7">
        <f t="shared" si="55"/>
        <v>4.2678043815849716</v>
      </c>
    </row>
    <row r="84" spans="2:11" x14ac:dyDescent="0.25">
      <c r="B84" s="34" t="s">
        <v>56</v>
      </c>
      <c r="C84" s="34"/>
      <c r="D84" s="34"/>
      <c r="E84" s="34"/>
      <c r="F84" s="35">
        <f>+F43</f>
        <v>0</v>
      </c>
      <c r="G84" s="35">
        <f>+G82+G83</f>
        <v>1.3863013698630144</v>
      </c>
      <c r="H84" s="35">
        <f t="shared" ref="H84:K84" si="56">+H82+H83</f>
        <v>2.6795763150684859</v>
      </c>
      <c r="I84" s="35">
        <f t="shared" si="56"/>
        <v>4.8140352332068517</v>
      </c>
      <c r="J84" s="35">
        <f t="shared" si="56"/>
        <v>7.9351758754091826</v>
      </c>
      <c r="K84" s="35">
        <f t="shared" si="56"/>
        <v>12.202980256994154</v>
      </c>
    </row>
    <row r="88" spans="2:11" x14ac:dyDescent="0.25">
      <c r="B88" s="37" t="s">
        <v>57</v>
      </c>
      <c r="C88" s="37"/>
      <c r="D88" s="37"/>
      <c r="E88" s="37"/>
      <c r="F88" s="37"/>
      <c r="G88" s="37"/>
      <c r="H88" s="37"/>
      <c r="I88" s="37"/>
      <c r="J88" s="37"/>
      <c r="K88" s="37"/>
    </row>
    <row r="90" spans="2:11" x14ac:dyDescent="0.25">
      <c r="B90" s="2" t="s">
        <v>58</v>
      </c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5">
      <c r="B91" s="4" t="str">
        <f>+B64</f>
        <v>C$ - MM</v>
      </c>
      <c r="C91" s="4"/>
      <c r="D91" s="4"/>
      <c r="E91" s="5">
        <v>2013</v>
      </c>
      <c r="F91" s="5">
        <v>2014</v>
      </c>
      <c r="G91" s="6">
        <f t="shared" ref="G91:K91" si="57">+F91+1</f>
        <v>2015</v>
      </c>
      <c r="H91" s="6">
        <f t="shared" si="57"/>
        <v>2016</v>
      </c>
      <c r="I91" s="6">
        <f t="shared" si="57"/>
        <v>2017</v>
      </c>
      <c r="J91" s="6">
        <f t="shared" si="57"/>
        <v>2018</v>
      </c>
      <c r="K91" s="6">
        <f t="shared" si="57"/>
        <v>2019</v>
      </c>
    </row>
    <row r="92" spans="2:11" x14ac:dyDescent="0.25">
      <c r="B92" t="str">
        <f>+B19</f>
        <v>Sales</v>
      </c>
      <c r="E92">
        <f>+E19</f>
        <v>100</v>
      </c>
      <c r="F92">
        <f>+F19</f>
        <v>120</v>
      </c>
      <c r="G92">
        <f>+G19</f>
        <v>138</v>
      </c>
      <c r="H92">
        <f>+H19</f>
        <v>158.69999999999999</v>
      </c>
      <c r="I92">
        <f>+I19</f>
        <v>182.50499999999997</v>
      </c>
      <c r="J92">
        <f>+J19</f>
        <v>209.88074999999995</v>
      </c>
      <c r="K92">
        <f>+K19</f>
        <v>241.36286249999992</v>
      </c>
    </row>
    <row r="93" spans="2:11" x14ac:dyDescent="0.25">
      <c r="B93" t="str">
        <f>+B20</f>
        <v>COGS</v>
      </c>
      <c r="E93" s="38">
        <f>+E20</f>
        <v>-50</v>
      </c>
      <c r="F93" s="38">
        <f>+F20</f>
        <v>-65</v>
      </c>
      <c r="G93" s="38">
        <f>+G20</f>
        <v>-71.760000000000005</v>
      </c>
      <c r="H93" s="38">
        <f>+H20</f>
        <v>-82.524000000000001</v>
      </c>
      <c r="I93" s="38">
        <f>+I20</f>
        <v>-94.902599999999993</v>
      </c>
      <c r="J93" s="38">
        <f>+J20</f>
        <v>-109.13798999999997</v>
      </c>
      <c r="K93" s="38">
        <f>+K20</f>
        <v>-125.50868849999996</v>
      </c>
    </row>
    <row r="95" spans="2:11" x14ac:dyDescent="0.25">
      <c r="B95" t="str">
        <f>+B44</f>
        <v>Receivables</v>
      </c>
      <c r="F95" s="38">
        <f>+F44</f>
        <v>10</v>
      </c>
      <c r="G95" s="38">
        <f t="shared" ref="G95:K95" si="58">+G96*G$92/365</f>
        <v>11.342465753424657</v>
      </c>
      <c r="H95" s="38">
        <f t="shared" si="58"/>
        <v>13.043835616438356</v>
      </c>
      <c r="I95" s="38">
        <f t="shared" si="58"/>
        <v>15.000410958904107</v>
      </c>
      <c r="J95" s="38">
        <f t="shared" si="58"/>
        <v>17.250472602739723</v>
      </c>
      <c r="K95" s="38">
        <f t="shared" si="58"/>
        <v>19.838043493150678</v>
      </c>
    </row>
    <row r="96" spans="2:11" x14ac:dyDescent="0.25">
      <c r="B96" s="17" t="s">
        <v>64</v>
      </c>
      <c r="C96" s="45">
        <f>+Assumptions!D12</f>
        <v>30</v>
      </c>
      <c r="D96" s="17"/>
      <c r="E96" s="17"/>
      <c r="F96" s="46">
        <f>+F95/$F92*365</f>
        <v>30.416666666666664</v>
      </c>
      <c r="G96" s="46">
        <f t="shared" ref="G96:K96" si="59">+$C$96</f>
        <v>30</v>
      </c>
      <c r="H96" s="46">
        <f t="shared" si="59"/>
        <v>30</v>
      </c>
      <c r="I96" s="46">
        <f t="shared" si="59"/>
        <v>30</v>
      </c>
      <c r="J96" s="46">
        <f t="shared" si="59"/>
        <v>30</v>
      </c>
      <c r="K96" s="46">
        <f t="shared" si="59"/>
        <v>30</v>
      </c>
    </row>
    <row r="97" spans="2:11" x14ac:dyDescent="0.25">
      <c r="F97" s="38"/>
    </row>
    <row r="98" spans="2:11" x14ac:dyDescent="0.25">
      <c r="B98" t="str">
        <f>+B45</f>
        <v xml:space="preserve">Inventory </v>
      </c>
      <c r="F98" s="38">
        <f>+F45</f>
        <v>30</v>
      </c>
      <c r="G98" s="38">
        <f t="shared" ref="G98:K98" si="60">+G99*G$92/365</f>
        <v>34.027397260273972</v>
      </c>
      <c r="H98" s="38">
        <f t="shared" si="60"/>
        <v>39.131506849315066</v>
      </c>
      <c r="I98" s="38">
        <f t="shared" si="60"/>
        <v>45.001232876712322</v>
      </c>
      <c r="J98" s="38">
        <f t="shared" si="60"/>
        <v>51.751417808219166</v>
      </c>
      <c r="K98" s="38">
        <f t="shared" si="60"/>
        <v>59.514130479452035</v>
      </c>
    </row>
    <row r="99" spans="2:11" x14ac:dyDescent="0.25">
      <c r="B99" s="17" t="s">
        <v>64</v>
      </c>
      <c r="C99" s="45">
        <f>+Assumptions!D13</f>
        <v>90</v>
      </c>
      <c r="D99" s="17"/>
      <c r="E99" s="17"/>
      <c r="F99" s="46">
        <f>+F98/F$92*365</f>
        <v>91.25</v>
      </c>
      <c r="G99" s="46">
        <f t="shared" ref="G99:K99" si="61">+$C$99</f>
        <v>90</v>
      </c>
      <c r="H99" s="46">
        <f t="shared" si="61"/>
        <v>90</v>
      </c>
      <c r="I99" s="46">
        <f t="shared" si="61"/>
        <v>90</v>
      </c>
      <c r="J99" s="46">
        <f t="shared" si="61"/>
        <v>90</v>
      </c>
      <c r="K99" s="46">
        <f t="shared" si="61"/>
        <v>90</v>
      </c>
    </row>
    <row r="100" spans="2:11" x14ac:dyDescent="0.25">
      <c r="F100" s="38"/>
    </row>
    <row r="101" spans="2:11" x14ac:dyDescent="0.25">
      <c r="B101" t="str">
        <f>+B46</f>
        <v>prepaids</v>
      </c>
      <c r="F101" s="38">
        <f>+F46</f>
        <v>5</v>
      </c>
      <c r="G101" s="38">
        <f>+F101</f>
        <v>5</v>
      </c>
      <c r="H101" s="38">
        <f t="shared" ref="H101:K101" si="62">+G101</f>
        <v>5</v>
      </c>
      <c r="I101" s="38">
        <f t="shared" si="62"/>
        <v>5</v>
      </c>
      <c r="J101" s="38">
        <f t="shared" si="62"/>
        <v>5</v>
      </c>
      <c r="K101" s="38">
        <f t="shared" si="62"/>
        <v>5</v>
      </c>
    </row>
    <row r="102" spans="2:11" x14ac:dyDescent="0.25">
      <c r="F102" s="38"/>
    </row>
    <row r="103" spans="2:11" x14ac:dyDescent="0.25">
      <c r="B103" t="str">
        <f>+B55</f>
        <v>Payables</v>
      </c>
      <c r="F103" s="38">
        <f>+F55</f>
        <v>10</v>
      </c>
      <c r="G103" s="38">
        <f>-G104*G$93/365</f>
        <v>11.796164383561646</v>
      </c>
      <c r="H103" s="38">
        <f t="shared" ref="H103:K103" si="63">-H104*H$93/365</f>
        <v>13.565589041095892</v>
      </c>
      <c r="I103" s="38">
        <f t="shared" si="63"/>
        <v>15.600427397260274</v>
      </c>
      <c r="J103" s="38">
        <f t="shared" si="63"/>
        <v>17.940491506849312</v>
      </c>
      <c r="K103" s="38">
        <f t="shared" si="63"/>
        <v>20.631565232876707</v>
      </c>
    </row>
    <row r="104" spans="2:11" x14ac:dyDescent="0.25">
      <c r="B104" s="17" t="s">
        <v>65</v>
      </c>
      <c r="C104" s="44">
        <f>+Assumptions!D14</f>
        <v>60</v>
      </c>
      <c r="F104" s="46">
        <f>-F103/F$93*365</f>
        <v>56.15384615384616</v>
      </c>
      <c r="G104" s="46">
        <f t="shared" ref="G104:K104" si="64">+$C$104</f>
        <v>60</v>
      </c>
      <c r="H104" s="46">
        <f t="shared" si="64"/>
        <v>60</v>
      </c>
      <c r="I104" s="46">
        <f t="shared" si="64"/>
        <v>60</v>
      </c>
      <c r="J104" s="46">
        <f t="shared" si="64"/>
        <v>60</v>
      </c>
      <c r="K104" s="46">
        <f t="shared" si="64"/>
        <v>60</v>
      </c>
    </row>
    <row r="106" spans="2:11" x14ac:dyDescent="0.25">
      <c r="B106" s="3" t="s">
        <v>58</v>
      </c>
      <c r="C106" s="3"/>
      <c r="D106" s="3"/>
      <c r="E106" s="3"/>
      <c r="F106" s="47">
        <f>+F95+F98+F101-F103</f>
        <v>35</v>
      </c>
      <c r="G106" s="47">
        <f t="shared" ref="G106:K106" si="65">+G95+G98+G101-G103</f>
        <v>38.573698630136981</v>
      </c>
      <c r="H106" s="47">
        <f t="shared" si="65"/>
        <v>43.609753424657534</v>
      </c>
      <c r="I106" s="47">
        <f t="shared" si="65"/>
        <v>49.401216438356144</v>
      </c>
      <c r="J106" s="47">
        <f t="shared" si="65"/>
        <v>56.061398904109581</v>
      </c>
      <c r="K106" s="47">
        <f t="shared" si="65"/>
        <v>63.720608739726003</v>
      </c>
    </row>
    <row r="107" spans="2:11" x14ac:dyDescent="0.25">
      <c r="B107" s="3" t="s">
        <v>66</v>
      </c>
      <c r="C107" s="3"/>
      <c r="D107" s="3"/>
      <c r="E107" s="3"/>
      <c r="F107" s="3"/>
      <c r="G107" s="47">
        <f>+G106-F106</f>
        <v>3.5736986301369811</v>
      </c>
      <c r="H107" s="47">
        <f t="shared" ref="H107:K107" si="66">+H106-G106</f>
        <v>5.0360547945205525</v>
      </c>
      <c r="I107" s="47">
        <f t="shared" si="66"/>
        <v>5.7914630136986105</v>
      </c>
      <c r="J107" s="47">
        <f t="shared" si="66"/>
        <v>6.6601824657534365</v>
      </c>
      <c r="K107" s="47">
        <f t="shared" si="66"/>
        <v>7.6592098356164229</v>
      </c>
    </row>
    <row r="110" spans="2:11" ht="24.95" customHeight="1" x14ac:dyDescent="0.25">
      <c r="B110" s="39" t="s">
        <v>67</v>
      </c>
      <c r="C110" s="39"/>
      <c r="D110" s="39"/>
      <c r="E110" s="39"/>
      <c r="F110" s="39"/>
      <c r="G110" s="39"/>
      <c r="H110" s="39"/>
      <c r="I110" s="39"/>
      <c r="J110" s="39"/>
      <c r="K110" s="39"/>
    </row>
    <row r="111" spans="2:11" x14ac:dyDescent="0.25">
      <c r="B111" s="4" t="str">
        <f>+B91</f>
        <v>C$ - MM</v>
      </c>
      <c r="C111" s="4"/>
      <c r="D111" s="4"/>
      <c r="E111" s="5">
        <v>2013</v>
      </c>
      <c r="F111" s="5">
        <v>2014</v>
      </c>
      <c r="G111" s="6">
        <f t="shared" ref="G111:K111" si="67">+F111+1</f>
        <v>2015</v>
      </c>
      <c r="H111" s="6">
        <f t="shared" si="67"/>
        <v>2016</v>
      </c>
      <c r="I111" s="6">
        <f t="shared" si="67"/>
        <v>2017</v>
      </c>
      <c r="J111" s="6">
        <f t="shared" si="67"/>
        <v>2018</v>
      </c>
      <c r="K111" s="6">
        <f t="shared" si="67"/>
        <v>2019</v>
      </c>
    </row>
    <row r="112" spans="2:11" x14ac:dyDescent="0.25">
      <c r="B112" t="s">
        <v>68</v>
      </c>
      <c r="G112" s="7">
        <f>+F115</f>
        <v>25</v>
      </c>
      <c r="H112" s="7">
        <f>+G115</f>
        <v>24.83</v>
      </c>
      <c r="I112" s="7">
        <f t="shared" ref="I112:K112" si="68">+H115</f>
        <v>25.418499999999998</v>
      </c>
      <c r="J112" s="7">
        <f t="shared" si="68"/>
        <v>26.722474999999996</v>
      </c>
      <c r="K112" s="7">
        <f t="shared" si="68"/>
        <v>28.723806249999999</v>
      </c>
    </row>
    <row r="113" spans="2:12" x14ac:dyDescent="0.25">
      <c r="B113" t="s">
        <v>19</v>
      </c>
      <c r="G113" s="9">
        <f>-G36</f>
        <v>4.83</v>
      </c>
      <c r="H113" s="9">
        <f t="shared" ref="H113:K113" si="69">-H36</f>
        <v>5.5545</v>
      </c>
      <c r="I113" s="9">
        <f t="shared" si="69"/>
        <v>6.3876749999999998</v>
      </c>
      <c r="J113" s="9">
        <f t="shared" si="69"/>
        <v>7.3458262499999991</v>
      </c>
      <c r="K113" s="9">
        <f t="shared" si="69"/>
        <v>8.4477001874999988</v>
      </c>
    </row>
    <row r="114" spans="2:12" x14ac:dyDescent="0.25">
      <c r="B114" s="11" t="s">
        <v>7</v>
      </c>
      <c r="C114" s="83">
        <f>+Assumptions!D10</f>
        <v>0.2</v>
      </c>
      <c r="D114" s="11"/>
      <c r="E114" s="11"/>
      <c r="F114" s="11"/>
      <c r="G114" s="51">
        <f t="shared" ref="G114:K114" si="70">-G112*$C$114</f>
        <v>-5</v>
      </c>
      <c r="H114" s="51">
        <f t="shared" si="70"/>
        <v>-4.9660000000000002</v>
      </c>
      <c r="I114" s="51">
        <f t="shared" si="70"/>
        <v>-5.0837000000000003</v>
      </c>
      <c r="J114" s="51">
        <f t="shared" si="70"/>
        <v>-5.3444949999999993</v>
      </c>
      <c r="K114" s="51">
        <f t="shared" si="70"/>
        <v>-5.7447612499999998</v>
      </c>
    </row>
    <row r="115" spans="2:12" x14ac:dyDescent="0.25">
      <c r="B115" s="3" t="s">
        <v>69</v>
      </c>
      <c r="C115" s="84"/>
      <c r="D115" s="3"/>
      <c r="E115" s="3"/>
      <c r="F115" s="15">
        <f>+F48</f>
        <v>25</v>
      </c>
      <c r="G115" s="15">
        <f>+G112+G113+G114</f>
        <v>24.83</v>
      </c>
      <c r="H115" s="15">
        <f t="shared" ref="H115:K115" si="71">+H112+H113+H114</f>
        <v>25.418499999999998</v>
      </c>
      <c r="I115" s="15">
        <f t="shared" si="71"/>
        <v>26.722474999999996</v>
      </c>
      <c r="J115" s="15">
        <f t="shared" si="71"/>
        <v>28.723806249999999</v>
      </c>
      <c r="K115" s="15">
        <f t="shared" si="71"/>
        <v>31.4267451875</v>
      </c>
    </row>
    <row r="116" spans="2:12" x14ac:dyDescent="0.25">
      <c r="C116" s="69"/>
    </row>
    <row r="117" spans="2:12" x14ac:dyDescent="0.25">
      <c r="C117" s="69"/>
    </row>
    <row r="118" spans="2:12" ht="17.25" x14ac:dyDescent="0.25">
      <c r="B118" s="39" t="s">
        <v>71</v>
      </c>
      <c r="C118" s="85"/>
      <c r="D118" s="39"/>
      <c r="E118" s="39"/>
      <c r="F118" s="39"/>
      <c r="G118" s="39"/>
      <c r="H118" s="39"/>
      <c r="I118" s="39"/>
      <c r="J118" s="39"/>
      <c r="K118" s="39"/>
    </row>
    <row r="119" spans="2:12" x14ac:dyDescent="0.25">
      <c r="B119" s="4" t="str">
        <f>+$B$111</f>
        <v>C$ - MM</v>
      </c>
      <c r="C119" s="86"/>
      <c r="D119" s="4"/>
      <c r="E119" s="5">
        <v>2013</v>
      </c>
      <c r="F119" s="5">
        <v>2014</v>
      </c>
      <c r="G119" s="6">
        <f t="shared" ref="G119:K119" si="72">+F119+1</f>
        <v>2015</v>
      </c>
      <c r="H119" s="6">
        <f t="shared" si="72"/>
        <v>2016</v>
      </c>
      <c r="I119" s="6">
        <f t="shared" si="72"/>
        <v>2017</v>
      </c>
      <c r="J119" s="6">
        <f t="shared" si="72"/>
        <v>2018</v>
      </c>
      <c r="K119" s="6">
        <f t="shared" si="72"/>
        <v>2019</v>
      </c>
    </row>
    <row r="120" spans="2:12" x14ac:dyDescent="0.25">
      <c r="B120" s="25" t="s">
        <v>131</v>
      </c>
      <c r="C120" s="87"/>
      <c r="D120" s="25"/>
      <c r="E120" s="26"/>
      <c r="F120" s="26"/>
      <c r="G120" s="27"/>
      <c r="H120" s="27"/>
      <c r="I120" s="27"/>
      <c r="J120" s="27"/>
      <c r="K120" s="27"/>
    </row>
    <row r="121" spans="2:12" x14ac:dyDescent="0.25">
      <c r="B121" t="s">
        <v>72</v>
      </c>
      <c r="C121" s="69"/>
      <c r="G121" s="7">
        <f>+F123</f>
        <v>30</v>
      </c>
      <c r="H121" s="7">
        <f t="shared" ref="H121:K121" si="73">+G123</f>
        <v>26.25</v>
      </c>
      <c r="I121" s="7">
        <f t="shared" si="73"/>
        <v>22.5</v>
      </c>
      <c r="J121" s="7">
        <f t="shared" si="73"/>
        <v>18.75</v>
      </c>
      <c r="K121" s="7">
        <f t="shared" si="73"/>
        <v>15</v>
      </c>
    </row>
    <row r="122" spans="2:12" x14ac:dyDescent="0.25">
      <c r="B122" t="s">
        <v>79</v>
      </c>
      <c r="C122" s="88"/>
      <c r="G122" s="38">
        <f>-'LBO Model Acquisition BS'!E39</f>
        <v>-3.75</v>
      </c>
      <c r="H122" s="38">
        <f>+G122</f>
        <v>-3.75</v>
      </c>
      <c r="I122" s="38">
        <f>+H122</f>
        <v>-3.75</v>
      </c>
      <c r="J122" s="38">
        <f t="shared" ref="J122:K122" si="74">+I122</f>
        <v>-3.75</v>
      </c>
      <c r="K122" s="38">
        <f t="shared" si="74"/>
        <v>-3.75</v>
      </c>
      <c r="L122" s="38">
        <f>+K122</f>
        <v>-3.75</v>
      </c>
    </row>
    <row r="123" spans="2:12" x14ac:dyDescent="0.25">
      <c r="B123" t="s">
        <v>73</v>
      </c>
      <c r="C123" s="88"/>
      <c r="F123" s="7">
        <f>+F54+F57</f>
        <v>30</v>
      </c>
      <c r="G123" s="7">
        <f>+G121+G122</f>
        <v>26.25</v>
      </c>
      <c r="H123" s="7">
        <f t="shared" ref="H123:K123" si="75">+H121+H122</f>
        <v>22.5</v>
      </c>
      <c r="I123" s="7">
        <f t="shared" si="75"/>
        <v>18.75</v>
      </c>
      <c r="J123" s="7">
        <f t="shared" si="75"/>
        <v>15</v>
      </c>
      <c r="K123" s="7">
        <f t="shared" si="75"/>
        <v>11.25</v>
      </c>
    </row>
    <row r="124" spans="2:12" x14ac:dyDescent="0.25">
      <c r="C124" s="88"/>
    </row>
    <row r="125" spans="2:12" x14ac:dyDescent="0.25">
      <c r="B125" t="s">
        <v>8</v>
      </c>
      <c r="C125" s="88">
        <f>+Assumptions!H8</f>
        <v>0.05</v>
      </c>
      <c r="G125" s="38">
        <f>-$C$125*G121</f>
        <v>-1.5</v>
      </c>
      <c r="H125" s="38">
        <f t="shared" ref="H125:K125" si="76">-$C$125*H121</f>
        <v>-1.3125</v>
      </c>
      <c r="I125" s="38">
        <f t="shared" si="76"/>
        <v>-1.125</v>
      </c>
      <c r="J125" s="38">
        <f t="shared" si="76"/>
        <v>-0.9375</v>
      </c>
      <c r="K125" s="38">
        <f t="shared" si="76"/>
        <v>-0.75</v>
      </c>
    </row>
    <row r="126" spans="2:12" x14ac:dyDescent="0.25">
      <c r="C126" s="69"/>
    </row>
    <row r="127" spans="2:12" x14ac:dyDescent="0.25">
      <c r="B127" t="s">
        <v>74</v>
      </c>
      <c r="C127" s="69"/>
      <c r="G127" s="38">
        <f>-H122</f>
        <v>3.75</v>
      </c>
      <c r="H127" s="38">
        <f t="shared" ref="H127:K127" si="77">-I122</f>
        <v>3.75</v>
      </c>
      <c r="I127" s="38">
        <f t="shared" si="77"/>
        <v>3.75</v>
      </c>
      <c r="J127" s="38">
        <f t="shared" si="77"/>
        <v>3.75</v>
      </c>
      <c r="K127" s="38">
        <f t="shared" si="77"/>
        <v>3.75</v>
      </c>
    </row>
    <row r="128" spans="2:12" x14ac:dyDescent="0.25">
      <c r="B128" t="s">
        <v>75</v>
      </c>
      <c r="C128" s="69"/>
      <c r="G128" s="38">
        <f>+G123-G127</f>
        <v>22.5</v>
      </c>
      <c r="H128" s="38">
        <f t="shared" ref="H128:K128" si="78">+H123-H127</f>
        <v>18.75</v>
      </c>
      <c r="I128" s="38">
        <f t="shared" si="78"/>
        <v>15</v>
      </c>
      <c r="J128" s="38">
        <f t="shared" si="78"/>
        <v>11.25</v>
      </c>
      <c r="K128" s="38">
        <f t="shared" si="78"/>
        <v>7.5</v>
      </c>
    </row>
    <row r="129" spans="2:11" x14ac:dyDescent="0.25">
      <c r="C129" s="69"/>
      <c r="G129" s="38"/>
      <c r="H129" s="38"/>
      <c r="I129" s="38"/>
      <c r="J129" s="38"/>
      <c r="K129" s="38"/>
    </row>
    <row r="130" spans="2:11" x14ac:dyDescent="0.25">
      <c r="B130" s="3" t="s">
        <v>132</v>
      </c>
      <c r="C130" s="69"/>
      <c r="G130" s="38"/>
      <c r="H130" s="38"/>
      <c r="I130" s="38"/>
      <c r="J130" s="38"/>
      <c r="K130" s="38"/>
    </row>
    <row r="131" spans="2:11" x14ac:dyDescent="0.25">
      <c r="B131" t="s">
        <v>72</v>
      </c>
      <c r="C131" s="69"/>
      <c r="G131" s="38">
        <f t="shared" ref="G131:K131" si="79">+F134</f>
        <v>12</v>
      </c>
      <c r="H131" s="38">
        <f t="shared" ref="H131:K131" si="80">+G134</f>
        <v>13.44</v>
      </c>
      <c r="I131" s="38">
        <f t="shared" si="80"/>
        <v>15.0528</v>
      </c>
      <c r="J131" s="38">
        <f t="shared" si="80"/>
        <v>16.859135999999999</v>
      </c>
      <c r="K131" s="38">
        <f t="shared" si="80"/>
        <v>18.88223232</v>
      </c>
    </row>
    <row r="132" spans="2:11" x14ac:dyDescent="0.25">
      <c r="B132" t="s">
        <v>79</v>
      </c>
      <c r="C132" s="69"/>
      <c r="G132" s="38">
        <v>0</v>
      </c>
      <c r="H132" s="38">
        <v>0</v>
      </c>
      <c r="I132" s="38">
        <v>0</v>
      </c>
      <c r="J132" s="38">
        <v>0</v>
      </c>
      <c r="K132" s="38">
        <v>0</v>
      </c>
    </row>
    <row r="133" spans="2:11" x14ac:dyDescent="0.25">
      <c r="B133" t="s">
        <v>133</v>
      </c>
      <c r="C133" s="69">
        <f>+Assumptions!H12</f>
        <v>1</v>
      </c>
      <c r="G133" s="60">
        <f t="shared" ref="G133:K133" si="81">-$C$133*G136</f>
        <v>1.44</v>
      </c>
      <c r="H133" s="60">
        <f t="shared" si="81"/>
        <v>1.6127999999999998</v>
      </c>
      <c r="I133" s="60">
        <f t="shared" si="81"/>
        <v>1.8063359999999999</v>
      </c>
      <c r="J133" s="60">
        <f t="shared" si="81"/>
        <v>2.0230963200000001</v>
      </c>
      <c r="K133" s="60">
        <f t="shared" si="81"/>
        <v>2.2658678783999999</v>
      </c>
    </row>
    <row r="134" spans="2:11" x14ac:dyDescent="0.25">
      <c r="B134" t="s">
        <v>73</v>
      </c>
      <c r="C134" s="69"/>
      <c r="F134" s="38">
        <f>+F58</f>
        <v>12</v>
      </c>
      <c r="G134" s="38">
        <f t="shared" ref="G134:K134" si="82">+G131+G133</f>
        <v>13.44</v>
      </c>
      <c r="H134" s="38">
        <f t="shared" si="82"/>
        <v>15.0528</v>
      </c>
      <c r="I134" s="38">
        <f t="shared" si="82"/>
        <v>16.859135999999999</v>
      </c>
      <c r="J134" s="38">
        <f t="shared" si="82"/>
        <v>18.88223232</v>
      </c>
      <c r="K134" s="38">
        <f t="shared" si="82"/>
        <v>21.148100198400002</v>
      </c>
    </row>
    <row r="135" spans="2:11" x14ac:dyDescent="0.25">
      <c r="C135" s="69"/>
      <c r="G135" s="38"/>
      <c r="H135" s="38"/>
      <c r="I135" s="38"/>
      <c r="J135" s="38"/>
      <c r="K135" s="38"/>
    </row>
    <row r="136" spans="2:11" x14ac:dyDescent="0.25">
      <c r="B136" t="s">
        <v>8</v>
      </c>
      <c r="C136" s="74">
        <f>+Assumptions!H11</f>
        <v>0.12</v>
      </c>
      <c r="G136" s="60">
        <f t="shared" ref="G136:K136" si="83">-G131*$C$136</f>
        <v>-1.44</v>
      </c>
      <c r="H136" s="60">
        <f t="shared" si="83"/>
        <v>-1.6127999999999998</v>
      </c>
      <c r="I136" s="60">
        <f t="shared" si="83"/>
        <v>-1.8063359999999999</v>
      </c>
      <c r="J136" s="60">
        <f t="shared" si="83"/>
        <v>-2.0230963200000001</v>
      </c>
      <c r="K136" s="60">
        <f t="shared" si="83"/>
        <v>-2.2658678783999999</v>
      </c>
    </row>
    <row r="138" spans="2:11" x14ac:dyDescent="0.25">
      <c r="C138" s="69"/>
      <c r="G138" s="60"/>
      <c r="H138" s="60"/>
      <c r="I138" s="60"/>
      <c r="J138" s="60"/>
      <c r="K138" s="60"/>
    </row>
    <row r="139" spans="2:11" x14ac:dyDescent="0.25">
      <c r="B139" t="s">
        <v>34</v>
      </c>
      <c r="C139" s="69"/>
      <c r="G139" s="60"/>
      <c r="H139" s="60"/>
      <c r="I139" s="60"/>
      <c r="J139" s="60"/>
      <c r="K139" s="60"/>
    </row>
    <row r="140" spans="2:11" x14ac:dyDescent="0.25">
      <c r="B140" t="s">
        <v>137</v>
      </c>
      <c r="C140" s="69"/>
      <c r="G140" s="60">
        <f t="shared" ref="G140:K140" si="84">+G82</f>
        <v>0</v>
      </c>
      <c r="H140" s="60">
        <f t="shared" si="84"/>
        <v>1.3863013698630144</v>
      </c>
      <c r="I140" s="60">
        <f t="shared" si="84"/>
        <v>2.6795763150684859</v>
      </c>
      <c r="J140" s="60">
        <f t="shared" si="84"/>
        <v>4.8140352332068517</v>
      </c>
      <c r="K140" s="60">
        <f t="shared" si="84"/>
        <v>7.9351758754091826</v>
      </c>
    </row>
    <row r="141" spans="2:11" x14ac:dyDescent="0.25">
      <c r="B141" t="s">
        <v>136</v>
      </c>
      <c r="C141" s="69"/>
      <c r="G141" s="60">
        <f t="shared" ref="G141:K141" si="85">+IF(G140&gt;0,G140,0)</f>
        <v>0</v>
      </c>
      <c r="H141" s="60">
        <f t="shared" si="85"/>
        <v>1.3863013698630144</v>
      </c>
      <c r="I141" s="60">
        <f t="shared" si="85"/>
        <v>2.6795763150684859</v>
      </c>
      <c r="J141" s="60">
        <f t="shared" si="85"/>
        <v>4.8140352332068517</v>
      </c>
      <c r="K141" s="60">
        <f t="shared" si="85"/>
        <v>7.9351758754091826</v>
      </c>
    </row>
    <row r="142" spans="2:11" x14ac:dyDescent="0.25">
      <c r="B142" t="s">
        <v>135</v>
      </c>
      <c r="C142" s="69"/>
      <c r="G142" s="60">
        <f t="shared" ref="G142:K142" si="86">+G141-G140</f>
        <v>0</v>
      </c>
      <c r="H142" s="60">
        <f t="shared" si="86"/>
        <v>0</v>
      </c>
      <c r="I142" s="60">
        <f t="shared" si="86"/>
        <v>0</v>
      </c>
      <c r="J142" s="60">
        <f t="shared" si="86"/>
        <v>0</v>
      </c>
      <c r="K142" s="60">
        <f t="shared" si="86"/>
        <v>0</v>
      </c>
    </row>
    <row r="143" spans="2:11" x14ac:dyDescent="0.25">
      <c r="C143" s="69"/>
      <c r="G143" s="60"/>
      <c r="H143" s="60"/>
      <c r="I143" s="60"/>
      <c r="J143" s="60"/>
      <c r="K143" s="60"/>
    </row>
    <row r="144" spans="2:11" x14ac:dyDescent="0.25">
      <c r="B144" t="s">
        <v>138</v>
      </c>
      <c r="C144" s="70">
        <f>+Assumptions!D19</f>
        <v>0.01</v>
      </c>
      <c r="G144" s="60">
        <f t="shared" ref="G144:K145" si="87">+G141*$C144</f>
        <v>0</v>
      </c>
      <c r="H144" s="60">
        <f t="shared" si="87"/>
        <v>1.3863013698630145E-2</v>
      </c>
      <c r="I144" s="60">
        <f t="shared" si="87"/>
        <v>2.6795763150684861E-2</v>
      </c>
      <c r="J144" s="60">
        <f t="shared" si="87"/>
        <v>4.8140352332068516E-2</v>
      </c>
      <c r="K144" s="60">
        <f t="shared" si="87"/>
        <v>7.9351758754091825E-2</v>
      </c>
    </row>
    <row r="145" spans="2:12" x14ac:dyDescent="0.25">
      <c r="B145" t="s">
        <v>139</v>
      </c>
      <c r="C145" s="70">
        <f>+Assumptions!D20</f>
        <v>0.05</v>
      </c>
      <c r="G145" s="60">
        <f t="shared" si="87"/>
        <v>0</v>
      </c>
      <c r="H145" s="60">
        <f t="shared" si="87"/>
        <v>0</v>
      </c>
      <c r="I145" s="60">
        <f t="shared" si="87"/>
        <v>0</v>
      </c>
      <c r="J145" s="60">
        <f t="shared" si="87"/>
        <v>0</v>
      </c>
      <c r="K145" s="60">
        <f t="shared" si="87"/>
        <v>0</v>
      </c>
    </row>
    <row r="146" spans="2:12" x14ac:dyDescent="0.25">
      <c r="C146" s="70"/>
      <c r="G146" s="60"/>
      <c r="H146" s="60"/>
      <c r="I146" s="60"/>
      <c r="J146" s="60"/>
      <c r="K146" s="60"/>
    </row>
    <row r="147" spans="2:12" x14ac:dyDescent="0.25">
      <c r="C147" s="70"/>
      <c r="G147" s="60"/>
      <c r="H147" s="60"/>
      <c r="I147" s="60"/>
      <c r="J147" s="60"/>
      <c r="K147" s="60"/>
    </row>
    <row r="148" spans="2:12" x14ac:dyDescent="0.25">
      <c r="B148" t="s">
        <v>134</v>
      </c>
      <c r="C148" s="69"/>
      <c r="G148" s="60">
        <f>+SUM(G125+G136+G144+G145)</f>
        <v>-2.94</v>
      </c>
      <c r="H148" s="60">
        <f t="shared" ref="H148:K148" si="88">+SUM(H125+H136+H144+H145)</f>
        <v>-2.91143698630137</v>
      </c>
      <c r="I148" s="60">
        <f t="shared" si="88"/>
        <v>-2.9045402368493152</v>
      </c>
      <c r="J148" s="60">
        <f t="shared" si="88"/>
        <v>-2.9124559676679316</v>
      </c>
      <c r="K148" s="60">
        <f t="shared" si="88"/>
        <v>-2.936516119645908</v>
      </c>
    </row>
    <row r="149" spans="2:12" x14ac:dyDescent="0.25">
      <c r="C149" s="69"/>
      <c r="G149" s="60"/>
      <c r="H149" s="60"/>
      <c r="I149" s="60"/>
      <c r="J149" s="60"/>
      <c r="K149" s="60"/>
    </row>
    <row r="151" spans="2:12" ht="17.25" x14ac:dyDescent="0.25">
      <c r="B151" s="39" t="s">
        <v>141</v>
      </c>
      <c r="C151" s="39"/>
      <c r="D151" s="39"/>
      <c r="E151" s="39"/>
      <c r="F151" s="39"/>
      <c r="G151" s="39"/>
      <c r="H151" s="39"/>
      <c r="I151" s="39"/>
      <c r="J151" s="39"/>
      <c r="K151" s="39"/>
    </row>
    <row r="152" spans="2:12" x14ac:dyDescent="0.25">
      <c r="B152" s="4" t="str">
        <f>+$B$111</f>
        <v>C$ - MM</v>
      </c>
      <c r="C152" s="4"/>
      <c r="D152" s="4"/>
      <c r="E152" s="5">
        <v>2013</v>
      </c>
      <c r="F152" s="5">
        <v>2014</v>
      </c>
      <c r="G152" s="6">
        <f t="shared" ref="G152:K152" si="89">+F152+1</f>
        <v>2015</v>
      </c>
      <c r="H152" s="6">
        <f t="shared" si="89"/>
        <v>2016</v>
      </c>
      <c r="I152" s="6">
        <f t="shared" si="89"/>
        <v>2017</v>
      </c>
      <c r="J152" s="6">
        <f t="shared" si="89"/>
        <v>2018</v>
      </c>
      <c r="K152" s="6">
        <f t="shared" si="89"/>
        <v>2019</v>
      </c>
    </row>
    <row r="154" spans="2:12" x14ac:dyDescent="0.25">
      <c r="B154" t="s">
        <v>6</v>
      </c>
      <c r="F154" s="9">
        <f>+F26</f>
        <v>12</v>
      </c>
      <c r="G154" s="9">
        <f>+G26</f>
        <v>17.939999999999994</v>
      </c>
      <c r="H154" s="9">
        <f>+H26</f>
        <v>20.630999999999997</v>
      </c>
      <c r="I154" s="9">
        <f>+I26</f>
        <v>23.725649999999984</v>
      </c>
      <c r="J154" s="9">
        <f>+J26</f>
        <v>27.284497499999993</v>
      </c>
      <c r="K154" s="9">
        <f>+K26</f>
        <v>31.377172124999987</v>
      </c>
    </row>
    <row r="155" spans="2:12" x14ac:dyDescent="0.25">
      <c r="B155" t="s">
        <v>142</v>
      </c>
      <c r="C155" s="16"/>
      <c r="F155" s="61">
        <f>+D2/F154</f>
        <v>8.3333333333333339</v>
      </c>
      <c r="G155" s="61">
        <f t="shared" ref="G155:K155" si="90">+F155</f>
        <v>8.3333333333333339</v>
      </c>
      <c r="H155" s="61">
        <f t="shared" si="90"/>
        <v>8.3333333333333339</v>
      </c>
      <c r="I155" s="61">
        <f t="shared" si="90"/>
        <v>8.3333333333333339</v>
      </c>
      <c r="J155" s="61">
        <f t="shared" si="90"/>
        <v>8.3333333333333339</v>
      </c>
      <c r="K155" s="61">
        <f t="shared" si="90"/>
        <v>8.3333333333333339</v>
      </c>
    </row>
    <row r="156" spans="2:12" x14ac:dyDescent="0.25">
      <c r="B156" s="3" t="s">
        <v>143</v>
      </c>
      <c r="C156" s="90"/>
      <c r="D156" s="3"/>
      <c r="E156" s="3"/>
      <c r="F156" s="3">
        <f>+F154*F155</f>
        <v>100</v>
      </c>
      <c r="G156" s="63">
        <f t="shared" ref="G156:K156" si="91">+G154*G155</f>
        <v>149.49999999999997</v>
      </c>
      <c r="H156" s="63">
        <f t="shared" si="91"/>
        <v>171.92499999999998</v>
      </c>
      <c r="I156" s="63">
        <f t="shared" si="91"/>
        <v>197.71374999999989</v>
      </c>
      <c r="J156" s="63">
        <f t="shared" si="91"/>
        <v>227.37081249999997</v>
      </c>
      <c r="K156" s="63">
        <f t="shared" si="91"/>
        <v>261.47643437499988</v>
      </c>
    </row>
    <row r="157" spans="2:12" x14ac:dyDescent="0.25">
      <c r="B157" s="89" t="s">
        <v>144</v>
      </c>
      <c r="F157" s="7">
        <f t="shared" ref="F157:G157" si="92">+F43</f>
        <v>0</v>
      </c>
      <c r="G157" s="9">
        <f t="shared" si="92"/>
        <v>1.3863013698630144</v>
      </c>
      <c r="H157" s="9">
        <f t="shared" ref="G157:K157" si="93">+H43</f>
        <v>2.6795763150684859</v>
      </c>
      <c r="I157" s="9">
        <f t="shared" si="93"/>
        <v>4.8140352332068517</v>
      </c>
      <c r="J157" s="9">
        <f t="shared" si="93"/>
        <v>7.9351758754091826</v>
      </c>
      <c r="K157" s="9">
        <f t="shared" si="93"/>
        <v>12.202980256994154</v>
      </c>
    </row>
    <row r="158" spans="2:12" x14ac:dyDescent="0.25">
      <c r="B158" t="str">
        <f>"-Senior"</f>
        <v>-Senior</v>
      </c>
      <c r="F158" s="7">
        <f t="shared" ref="F158:G158" si="94">-F54-F57</f>
        <v>-30</v>
      </c>
      <c r="G158" s="38">
        <f t="shared" si="94"/>
        <v>-26.25</v>
      </c>
      <c r="H158" s="38">
        <f t="shared" ref="G158:K158" si="95">-H54-H57</f>
        <v>-22.5</v>
      </c>
      <c r="I158" s="38">
        <f t="shared" si="95"/>
        <v>-18.75</v>
      </c>
      <c r="J158" s="38">
        <f t="shared" si="95"/>
        <v>-15</v>
      </c>
      <c r="K158" s="38">
        <f t="shared" si="95"/>
        <v>-11.25</v>
      </c>
    </row>
    <row r="159" spans="2:12" x14ac:dyDescent="0.25">
      <c r="B159" s="89" t="s">
        <v>145</v>
      </c>
      <c r="F159" s="7">
        <f t="shared" ref="F159:G159" si="96">-F58</f>
        <v>-12</v>
      </c>
      <c r="G159" s="38">
        <f t="shared" si="96"/>
        <v>-13.44</v>
      </c>
      <c r="H159" s="38">
        <f t="shared" ref="G159:K159" si="97">-H58</f>
        <v>-15.0528</v>
      </c>
      <c r="I159" s="38">
        <f t="shared" si="97"/>
        <v>-16.859135999999999</v>
      </c>
      <c r="J159" s="38">
        <f t="shared" si="97"/>
        <v>-18.88223232</v>
      </c>
      <c r="K159" s="38">
        <f t="shared" si="97"/>
        <v>-21.148100198400002</v>
      </c>
    </row>
    <row r="160" spans="2:12" x14ac:dyDescent="0.25">
      <c r="B160" s="13" t="s">
        <v>146</v>
      </c>
      <c r="C160" s="13"/>
      <c r="D160" s="13"/>
      <c r="E160" s="13"/>
      <c r="F160" s="31">
        <f t="shared" ref="F160:G160" si="98">+F156+F157+F158+F159</f>
        <v>58</v>
      </c>
      <c r="G160" s="49">
        <f t="shared" si="98"/>
        <v>111.19630136986299</v>
      </c>
      <c r="H160" s="49">
        <f t="shared" ref="G160:K160" si="99">+H156+H157+H158+H159</f>
        <v>137.05177631506848</v>
      </c>
      <c r="I160" s="49">
        <f t="shared" si="99"/>
        <v>166.91864923320674</v>
      </c>
      <c r="J160" s="49">
        <f t="shared" si="99"/>
        <v>201.42375605540917</v>
      </c>
      <c r="K160" s="49">
        <f t="shared" si="99"/>
        <v>241.28131443359405</v>
      </c>
      <c r="L160" s="58"/>
    </row>
    <row r="161" spans="2:12" x14ac:dyDescent="0.25">
      <c r="C161" s="56"/>
      <c r="D161" s="56"/>
      <c r="L161" s="38"/>
    </row>
    <row r="162" spans="2:12" x14ac:dyDescent="0.25">
      <c r="B162" t="s">
        <v>147</v>
      </c>
      <c r="F162" s="38">
        <f>+E13</f>
        <v>60</v>
      </c>
    </row>
    <row r="163" spans="2:12" x14ac:dyDescent="0.25">
      <c r="B163" t="s">
        <v>148</v>
      </c>
      <c r="C163" s="61"/>
      <c r="F163" s="84">
        <f>+Assumptions!H16</f>
        <v>4</v>
      </c>
      <c r="K163" s="33"/>
    </row>
    <row r="164" spans="2:12" x14ac:dyDescent="0.25">
      <c r="B164" t="s">
        <v>149</v>
      </c>
      <c r="F164" s="38">
        <f ca="1">+OFFSET($F$160,,F163)</f>
        <v>201.42375605540917</v>
      </c>
    </row>
    <row r="165" spans="2:12" ht="15.75" thickBot="1" x14ac:dyDescent="0.3"/>
    <row r="166" spans="2:12" ht="15.75" thickBot="1" x14ac:dyDescent="0.3">
      <c r="B166" s="91" t="s">
        <v>150</v>
      </c>
      <c r="C166" s="92"/>
      <c r="D166" s="92"/>
      <c r="E166" s="92"/>
      <c r="F166" s="93">
        <f ca="1">+(F164/F162)^(1/F163)-1</f>
        <v>0.35359848607432398</v>
      </c>
    </row>
    <row r="171" spans="2:12" ht="17.25" x14ac:dyDescent="0.25">
      <c r="B171" s="39" t="s">
        <v>152</v>
      </c>
      <c r="C171" s="39"/>
      <c r="D171" s="39"/>
      <c r="E171" s="39"/>
      <c r="F171" s="39"/>
      <c r="G171" s="39"/>
      <c r="H171" s="39"/>
      <c r="I171" s="39"/>
      <c r="J171" s="39"/>
      <c r="K171" s="39"/>
    </row>
    <row r="174" spans="2:12" x14ac:dyDescent="0.25">
      <c r="B174" t="s">
        <v>153</v>
      </c>
      <c r="D174" s="59">
        <f ca="1">+F166</f>
        <v>0.35359848607432398</v>
      </c>
      <c r="E174" s="53">
        <v>0.75</v>
      </c>
      <c r="F174" s="53">
        <f t="shared" ref="F174:J174" si="100">+E174+5%</f>
        <v>0.8</v>
      </c>
      <c r="G174" s="53">
        <f t="shared" si="100"/>
        <v>0.85000000000000009</v>
      </c>
      <c r="H174" s="53">
        <f t="shared" si="100"/>
        <v>0.90000000000000013</v>
      </c>
      <c r="I174" s="53">
        <f t="shared" si="100"/>
        <v>0.95000000000000018</v>
      </c>
      <c r="J174" s="53">
        <f t="shared" si="100"/>
        <v>1.0000000000000002</v>
      </c>
    </row>
    <row r="175" spans="2:12" x14ac:dyDescent="0.25">
      <c r="B175" t="s">
        <v>154</v>
      </c>
      <c r="D175">
        <v>50</v>
      </c>
      <c r="E175" s="59">
        <f t="dataTable" ref="E175:J191" dt2D="1" dtr="1" r1="C25" r2="D2" ca="1"/>
        <v>0.30421021575888019</v>
      </c>
      <c r="F175" s="59">
        <v>0.34866845477788244</v>
      </c>
      <c r="G175" s="59">
        <v>0.38911971421352676</v>
      </c>
      <c r="H175" s="59">
        <v>0.42631716567549782</v>
      </c>
      <c r="I175" s="59">
        <v>0.46111883849436586</v>
      </c>
      <c r="J175" s="59">
        <v>0.49394185343721353</v>
      </c>
    </row>
    <row r="176" spans="2:12" x14ac:dyDescent="0.25">
      <c r="D176">
        <f t="shared" ref="D176:D185" si="101">+D175+5</f>
        <v>55</v>
      </c>
      <c r="E176" s="59">
        <v>0.29536566979927126</v>
      </c>
      <c r="F176" s="59">
        <v>0.33931581893497875</v>
      </c>
      <c r="G176" s="59">
        <v>0.379321149352007</v>
      </c>
      <c r="H176" s="59">
        <v>0.4161204058131962</v>
      </c>
      <c r="I176" s="59">
        <v>0.45064059555069091</v>
      </c>
      <c r="J176" s="59">
        <v>0.48308436378906339</v>
      </c>
    </row>
    <row r="177" spans="4:10" x14ac:dyDescent="0.25">
      <c r="D177">
        <f t="shared" si="101"/>
        <v>60</v>
      </c>
      <c r="E177" s="59">
        <v>0.28785430280081981</v>
      </c>
      <c r="F177" s="59">
        <v>0.33136949606553401</v>
      </c>
      <c r="G177" s="59">
        <v>0.37099313501906983</v>
      </c>
      <c r="H177" s="59">
        <v>0.40745161271071884</v>
      </c>
      <c r="I177" s="59">
        <v>0.44173193294609914</v>
      </c>
      <c r="J177" s="59">
        <v>0.47385073694609114</v>
      </c>
    </row>
    <row r="178" spans="4:10" x14ac:dyDescent="0.25">
      <c r="D178">
        <f t="shared" si="101"/>
        <v>65</v>
      </c>
      <c r="E178" s="59">
        <v>0.28139426527203781</v>
      </c>
      <c r="F178" s="59">
        <v>0.32453276659286767</v>
      </c>
      <c r="G178" s="59">
        <v>0.36382587768393226</v>
      </c>
      <c r="H178" s="59">
        <v>0.39999324254998725</v>
      </c>
      <c r="I178" s="59">
        <v>0.43406269957907373</v>
      </c>
      <c r="J178" s="59">
        <v>0.46589983056592743</v>
      </c>
    </row>
    <row r="179" spans="4:10" x14ac:dyDescent="0.25">
      <c r="D179">
        <f t="shared" si="101"/>
        <v>70</v>
      </c>
      <c r="E179" s="59">
        <v>0.27577826421762208</v>
      </c>
      <c r="F179" s="59">
        <v>0.31858727334418568</v>
      </c>
      <c r="G179" s="59">
        <v>0.35759129599279138</v>
      </c>
      <c r="H179" s="59">
        <v>0.39355959287840303</v>
      </c>
      <c r="I179" s="59">
        <v>0.42738971822970662</v>
      </c>
      <c r="J179" s="59">
        <v>0.45898028080506048</v>
      </c>
    </row>
    <row r="180" spans="4:10" x14ac:dyDescent="0.25">
      <c r="D180">
        <f t="shared" si="101"/>
        <v>75</v>
      </c>
      <c r="E180" s="59">
        <v>0.25801757749433762</v>
      </c>
      <c r="F180" s="59">
        <v>0.29813258485098548</v>
      </c>
      <c r="G180" s="59">
        <v>0.33483965090195733</v>
      </c>
      <c r="H180" s="59">
        <v>0.3688028191778705</v>
      </c>
      <c r="I180" s="59">
        <v>0.40081592404339506</v>
      </c>
      <c r="J180" s="59">
        <v>0.43078069598448865</v>
      </c>
    </row>
    <row r="181" spans="4:10" x14ac:dyDescent="0.25">
      <c r="D181">
        <f t="shared" si="101"/>
        <v>80</v>
      </c>
      <c r="E181" s="59">
        <v>0.24432789768808227</v>
      </c>
      <c r="F181" s="59">
        <v>0.28229637815615249</v>
      </c>
      <c r="G181" s="59">
        <v>0.31716347593431582</v>
      </c>
      <c r="H181" s="59">
        <v>0.34951421258783255</v>
      </c>
      <c r="I181" s="59">
        <v>0.38006166667825769</v>
      </c>
      <c r="J181" s="59">
        <v>0.40871216608022576</v>
      </c>
    </row>
    <row r="182" spans="4:10" x14ac:dyDescent="0.25">
      <c r="D182">
        <f t="shared" si="101"/>
        <v>85</v>
      </c>
      <c r="E182" s="59">
        <v>0.23344443510030999</v>
      </c>
      <c r="F182" s="59">
        <v>0.26965994649300185</v>
      </c>
      <c r="G182" s="59">
        <v>0.30301744002376485</v>
      </c>
      <c r="H182" s="59">
        <v>0.3340407072067868</v>
      </c>
      <c r="I182" s="59">
        <v>0.36337820463236459</v>
      </c>
      <c r="J182" s="59">
        <v>0.39094152425761841</v>
      </c>
    </row>
    <row r="183" spans="4:10" x14ac:dyDescent="0.25">
      <c r="D183">
        <f t="shared" si="101"/>
        <v>90</v>
      </c>
      <c r="E183" s="59">
        <v>0.22457978936786094</v>
      </c>
      <c r="F183" s="59">
        <v>0.25933543986291707</v>
      </c>
      <c r="G183" s="59">
        <v>0.29143064081787506</v>
      </c>
      <c r="H183" s="59">
        <v>0.32134052722661122</v>
      </c>
      <c r="I183" s="59">
        <v>0.34966069560509383</v>
      </c>
      <c r="J183" s="59">
        <v>0.37630822752531645</v>
      </c>
    </row>
    <row r="184" spans="4:10" x14ac:dyDescent="0.25">
      <c r="D184">
        <f t="shared" si="101"/>
        <v>95</v>
      </c>
      <c r="E184" s="59">
        <v>0.21721724280830612</v>
      </c>
      <c r="F184" s="59">
        <v>0.25073755378007467</v>
      </c>
      <c r="G184" s="59">
        <v>0.28176078825182782</v>
      </c>
      <c r="H184" s="59">
        <v>0.3107226020135132</v>
      </c>
      <c r="I184" s="59">
        <v>0.33817456563641479</v>
      </c>
      <c r="J184" s="59">
        <v>0.36403923304736208</v>
      </c>
    </row>
    <row r="185" spans="4:10" x14ac:dyDescent="0.25">
      <c r="D185">
        <f t="shared" ref="D185:D191" si="102">+D184+5</f>
        <v>100</v>
      </c>
      <c r="E185" s="59">
        <v>0.21100323804362642</v>
      </c>
      <c r="F185" s="59">
        <v>0.24346418679580473</v>
      </c>
      <c r="G185" s="59">
        <v>0.27356526035681616</v>
      </c>
      <c r="H185" s="59">
        <v>0.30170951604126905</v>
      </c>
      <c r="I185" s="59">
        <v>0.32841129898182819</v>
      </c>
      <c r="J185" s="59">
        <v>0.35359848607432398</v>
      </c>
    </row>
    <row r="186" spans="4:10" x14ac:dyDescent="0.25">
      <c r="D186">
        <f t="shared" si="102"/>
        <v>105</v>
      </c>
      <c r="E186" s="59">
        <v>0.20568748484118204</v>
      </c>
      <c r="F186" s="59">
        <v>0.23722966670429235</v>
      </c>
      <c r="G186" s="59">
        <v>0.26652872243549974</v>
      </c>
      <c r="H186" s="59">
        <v>0.29396038818388059</v>
      </c>
      <c r="I186" s="59">
        <v>0.32000712817478338</v>
      </c>
      <c r="J186" s="59">
        <v>0.34460192398159428</v>
      </c>
    </row>
    <row r="187" spans="4:10" x14ac:dyDescent="0.25">
      <c r="D187">
        <f t="shared" si="102"/>
        <v>110</v>
      </c>
      <c r="E187" s="59">
        <v>0.20108771497000522</v>
      </c>
      <c r="F187" s="59">
        <v>0.23182529678901065</v>
      </c>
      <c r="G187" s="59">
        <v>0.26042023175327267</v>
      </c>
      <c r="H187" s="59">
        <v>0.2872250619149086</v>
      </c>
      <c r="I187" s="59">
        <v>0.31269464573665107</v>
      </c>
      <c r="J187" s="59">
        <v>0.33676681891573113</v>
      </c>
    </row>
    <row r="188" spans="4:10" x14ac:dyDescent="0.25">
      <c r="D188">
        <f t="shared" si="102"/>
        <v>115</v>
      </c>
      <c r="E188" s="59">
        <v>0.19706798446492901</v>
      </c>
      <c r="F188" s="59">
        <v>0.22709497719594363</v>
      </c>
      <c r="G188" s="59">
        <v>0.25506665873016621</v>
      </c>
      <c r="H188" s="59">
        <v>0.2813156594626891</v>
      </c>
      <c r="I188" s="59">
        <v>0.30627270441386978</v>
      </c>
      <c r="J188" s="59">
        <v>0.32988022193178979</v>
      </c>
    </row>
    <row r="189" spans="4:10" x14ac:dyDescent="0.25">
      <c r="D189">
        <f t="shared" si="102"/>
        <v>120</v>
      </c>
      <c r="E189" s="59">
        <v>0.19352480148051932</v>
      </c>
      <c r="F189" s="59">
        <v>0.22291956601982932</v>
      </c>
      <c r="G189" s="59">
        <v>0.2503355928290496</v>
      </c>
      <c r="H189" s="59">
        <v>0.27608825014630667</v>
      </c>
      <c r="I189" s="59">
        <v>0.30058698761853897</v>
      </c>
      <c r="J189" s="59">
        <v>0.32377856619864898</v>
      </c>
    </row>
    <row r="190" spans="4:10" x14ac:dyDescent="0.25">
      <c r="D190">
        <f t="shared" si="102"/>
        <v>125</v>
      </c>
      <c r="E190" s="59">
        <v>0.19037796743605084</v>
      </c>
      <c r="F190" s="59">
        <v>0.21920652192933554</v>
      </c>
      <c r="G190" s="59">
        <v>0.24612399453121303</v>
      </c>
      <c r="H190" s="59">
        <v>0.271430657978045</v>
      </c>
      <c r="I190" s="59">
        <v>0.29551706676755263</v>
      </c>
      <c r="J190" s="59">
        <v>0.31833406281210297</v>
      </c>
    </row>
    <row r="191" spans="4:10" x14ac:dyDescent="0.25">
      <c r="D191">
        <f t="shared" si="102"/>
        <v>130</v>
      </c>
      <c r="E191" s="59">
        <v>0.18756436000838361</v>
      </c>
      <c r="F191" s="59">
        <v>0.21588285356247128</v>
      </c>
      <c r="G191" s="59">
        <v>0.24235045335616201</v>
      </c>
      <c r="H191" s="59">
        <v>0.26725412906896806</v>
      </c>
      <c r="I191" s="59">
        <v>0.29096754304848926</v>
      </c>
      <c r="J191" s="59">
        <v>0.3134453786557041</v>
      </c>
    </row>
    <row r="193" spans="2:10" x14ac:dyDescent="0.25">
      <c r="B193" t="s">
        <v>156</v>
      </c>
      <c r="E193" s="38">
        <f t="shared" ref="E193:I193" ca="1" si="103">+E174*$J$193</f>
        <v>20.463373124999997</v>
      </c>
      <c r="F193" s="38">
        <f t="shared" ca="1" si="103"/>
        <v>21.827597999999995</v>
      </c>
      <c r="G193" s="38">
        <f t="shared" ca="1" si="103"/>
        <v>23.191822874999996</v>
      </c>
      <c r="H193" s="38">
        <f t="shared" ca="1" si="103"/>
        <v>24.556047749999998</v>
      </c>
      <c r="I193" s="38">
        <f t="shared" ca="1" si="103"/>
        <v>25.920272624999999</v>
      </c>
      <c r="J193" s="38">
        <f ca="1">+OFFSET(F154,,F163)</f>
        <v>27.284497499999993</v>
      </c>
    </row>
    <row r="195" spans="2:10" x14ac:dyDescent="0.25">
      <c r="B195" t="s">
        <v>155</v>
      </c>
      <c r="C195" s="55" t="str">
        <f>+"&gt;"&amp;Assumptions!H19</f>
        <v>&gt;0.25</v>
      </c>
      <c r="E195" s="38">
        <f ca="1">+OFFSET($D$174,COUNTIF(E175:E191,$C$195),0)</f>
        <v>75</v>
      </c>
      <c r="F195" s="97">
        <f ca="1">+OFFSET($D$174,COUNTIF(F175:F191,$C$195),0)</f>
        <v>95</v>
      </c>
      <c r="G195" s="97">
        <f ca="1">+OFFSET($D$174,COUNTIF(G175:G191,$C$195),0)</f>
        <v>120</v>
      </c>
      <c r="H195" s="38">
        <f t="shared" ref="H195:J195" ca="1" si="104">+OFFSET($D$174,COUNTIF(H175:H191,$C$195),0)</f>
        <v>130</v>
      </c>
      <c r="I195" s="38">
        <f t="shared" ca="1" si="104"/>
        <v>130</v>
      </c>
      <c r="J195" s="38">
        <f t="shared" ca="1" si="104"/>
        <v>130</v>
      </c>
    </row>
  </sheetData>
  <conditionalFormatting sqref="F61:K61">
    <cfRule type="cellIs" dxfId="1" priority="1" operator="not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2:L39"/>
  <sheetViews>
    <sheetView tabSelected="1" zoomScaleNormal="100" workbookViewId="0">
      <selection activeCell="D10" sqref="D10"/>
    </sheetView>
  </sheetViews>
  <sheetFormatPr defaultRowHeight="15" x14ac:dyDescent="0.25"/>
  <cols>
    <col min="2" max="2" width="19.28515625" bestFit="1" customWidth="1"/>
    <col min="6" max="11" width="16.7109375" customWidth="1"/>
  </cols>
  <sheetData>
    <row r="2" spans="2:12" x14ac:dyDescent="0.25">
      <c r="B2" s="2" t="s">
        <v>103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x14ac:dyDescent="0.25">
      <c r="B3" s="23" t="s">
        <v>93</v>
      </c>
      <c r="C3" s="4"/>
      <c r="D3" s="4"/>
      <c r="E3" s="5"/>
      <c r="F3" s="5"/>
      <c r="G3" s="6" t="s">
        <v>118</v>
      </c>
      <c r="H3" s="6"/>
      <c r="I3" s="6"/>
      <c r="J3" s="6"/>
      <c r="K3" s="6"/>
      <c r="L3" s="6"/>
    </row>
    <row r="4" spans="2:12" x14ac:dyDescent="0.25">
      <c r="B4" s="76"/>
      <c r="C4" s="25"/>
      <c r="D4" s="25"/>
      <c r="E4" s="26"/>
      <c r="F4" s="26"/>
      <c r="G4" s="27"/>
      <c r="H4" s="27"/>
      <c r="I4" s="27"/>
      <c r="J4" s="27"/>
      <c r="K4" s="27"/>
      <c r="L4" s="27"/>
    </row>
    <row r="5" spans="2:12" x14ac:dyDescent="0.25">
      <c r="B5" s="3" t="s">
        <v>114</v>
      </c>
      <c r="C5" s="53"/>
      <c r="D5" s="3"/>
      <c r="E5" s="10">
        <f>+'LBO Model'!E9</f>
        <v>30</v>
      </c>
      <c r="F5" s="10"/>
      <c r="G5" s="10" t="s">
        <v>119</v>
      </c>
      <c r="H5" s="10"/>
      <c r="I5" s="10"/>
      <c r="J5" s="10">
        <f>+'LBO Model'!D2</f>
        <v>100</v>
      </c>
      <c r="K5" s="10"/>
      <c r="L5" s="36"/>
    </row>
    <row r="6" spans="2:12" x14ac:dyDescent="0.25">
      <c r="B6" s="3" t="s">
        <v>115</v>
      </c>
      <c r="E6" s="9">
        <f>+'LBO Model'!E10</f>
        <v>12</v>
      </c>
      <c r="F6" s="9"/>
      <c r="G6" s="9" t="s">
        <v>120</v>
      </c>
      <c r="H6" s="9"/>
      <c r="I6" s="9"/>
      <c r="J6" s="9">
        <f>+'LBO Model'!D3</f>
        <v>2</v>
      </c>
      <c r="K6" s="9"/>
      <c r="L6" s="36"/>
    </row>
    <row r="7" spans="2:12" x14ac:dyDescent="0.25">
      <c r="B7" s="3" t="s">
        <v>39</v>
      </c>
      <c r="E7" s="10">
        <f>+'LBO Model'!E13</f>
        <v>60</v>
      </c>
      <c r="F7" s="10"/>
      <c r="G7" s="10"/>
      <c r="H7" s="10"/>
      <c r="I7" s="10"/>
      <c r="J7" s="10"/>
      <c r="K7" s="10"/>
      <c r="L7" s="36"/>
    </row>
    <row r="8" spans="2:12" x14ac:dyDescent="0.25">
      <c r="B8" t="s">
        <v>123</v>
      </c>
      <c r="E8" s="9">
        <f>SUM(E5:E7)</f>
        <v>102</v>
      </c>
      <c r="G8" t="s">
        <v>123</v>
      </c>
      <c r="J8" s="9">
        <f>SUM(J5:J7)</f>
        <v>102</v>
      </c>
      <c r="L8" s="33" t="str">
        <f>+IF(E8=J8,"OK","FALSE!!!!")</f>
        <v>OK</v>
      </c>
    </row>
    <row r="12" spans="2:12" x14ac:dyDescent="0.25">
      <c r="B12" s="2" t="s">
        <v>23</v>
      </c>
      <c r="C12" s="2"/>
      <c r="D12" s="2"/>
      <c r="E12" s="2"/>
      <c r="F12" s="2"/>
      <c r="G12" s="2"/>
      <c r="H12" s="2"/>
      <c r="I12" s="2"/>
      <c r="J12" s="2"/>
      <c r="K12" s="2"/>
    </row>
    <row r="13" spans="2:12" x14ac:dyDescent="0.25">
      <c r="B13" s="4" t="str">
        <f>+B3</f>
        <v>Sources</v>
      </c>
      <c r="C13" s="4"/>
      <c r="D13" s="4"/>
      <c r="E13" s="5"/>
      <c r="F13" s="75" t="s">
        <v>116</v>
      </c>
      <c r="G13" s="6" t="s">
        <v>117</v>
      </c>
      <c r="H13" s="6" t="s">
        <v>124</v>
      </c>
      <c r="I13" s="6" t="s">
        <v>128</v>
      </c>
      <c r="J13" s="6" t="s">
        <v>121</v>
      </c>
      <c r="K13" s="6" t="s">
        <v>129</v>
      </c>
    </row>
    <row r="14" spans="2:12" x14ac:dyDescent="0.25">
      <c r="B14" s="25" t="s">
        <v>32</v>
      </c>
      <c r="C14" s="25"/>
      <c r="D14" s="25"/>
      <c r="E14" s="26"/>
      <c r="F14" s="26"/>
      <c r="G14" s="27"/>
      <c r="H14" s="27"/>
      <c r="I14" s="27"/>
      <c r="J14" s="27"/>
      <c r="K14" s="27"/>
    </row>
    <row r="15" spans="2:12" x14ac:dyDescent="0.25">
      <c r="B15" t="s">
        <v>24</v>
      </c>
      <c r="E15" s="9"/>
      <c r="F15" s="8">
        <f>+'Company Financials'!F27</f>
        <v>20</v>
      </c>
      <c r="G15" s="7">
        <f>+SUM(G25:G29)</f>
        <v>-25</v>
      </c>
      <c r="H15" s="7">
        <f>+E8</f>
        <v>102</v>
      </c>
      <c r="I15" s="7">
        <f>-(J5+G15+F15)</f>
        <v>-95</v>
      </c>
      <c r="J15" s="7">
        <f>-J6</f>
        <v>-2</v>
      </c>
      <c r="K15" s="33">
        <f t="shared" ref="K15:K21" si="0">+SUM(F15:J15)</f>
        <v>0</v>
      </c>
    </row>
    <row r="16" spans="2:12" x14ac:dyDescent="0.25">
      <c r="B16" t="s">
        <v>25</v>
      </c>
      <c r="C16" s="24"/>
      <c r="E16" s="18"/>
      <c r="F16" s="8">
        <f>+'Company Financials'!F28</f>
        <v>10</v>
      </c>
      <c r="G16" s="48"/>
      <c r="H16" s="48"/>
      <c r="I16" s="48"/>
      <c r="J16" s="48"/>
      <c r="K16" s="78">
        <f t="shared" si="0"/>
        <v>10</v>
      </c>
    </row>
    <row r="17" spans="2:11" x14ac:dyDescent="0.25">
      <c r="B17" t="s">
        <v>26</v>
      </c>
      <c r="F17" s="8">
        <f>+'Company Financials'!F29</f>
        <v>30</v>
      </c>
      <c r="G17" s="7"/>
      <c r="H17" s="7"/>
      <c r="I17" s="7"/>
      <c r="J17" s="7"/>
      <c r="K17" s="33">
        <f t="shared" si="0"/>
        <v>30</v>
      </c>
    </row>
    <row r="18" spans="2:11" x14ac:dyDescent="0.25">
      <c r="B18" s="11" t="s">
        <v>27</v>
      </c>
      <c r="C18" s="11"/>
      <c r="D18" s="11"/>
      <c r="E18" s="11"/>
      <c r="F18" s="29">
        <f>+'Company Financials'!F30</f>
        <v>5</v>
      </c>
      <c r="G18" s="29"/>
      <c r="H18" s="29"/>
      <c r="I18" s="29"/>
      <c r="J18" s="29"/>
      <c r="K18" s="79">
        <f t="shared" si="0"/>
        <v>5</v>
      </c>
    </row>
    <row r="19" spans="2:11" x14ac:dyDescent="0.25">
      <c r="B19" s="3" t="s">
        <v>28</v>
      </c>
      <c r="C19" s="3"/>
      <c r="D19" s="3"/>
      <c r="E19" s="3"/>
      <c r="F19" s="30">
        <f>+SUM(F15:F18)</f>
        <v>65</v>
      </c>
      <c r="G19" s="52"/>
      <c r="H19" s="52"/>
      <c r="I19" s="52"/>
      <c r="J19" s="52"/>
      <c r="K19" s="80">
        <f>+SUM(K15:K18)</f>
        <v>45</v>
      </c>
    </row>
    <row r="20" spans="2:11" x14ac:dyDescent="0.25">
      <c r="B20" t="s">
        <v>29</v>
      </c>
      <c r="F20" s="8">
        <f>+'Company Financials'!F32</f>
        <v>25</v>
      </c>
      <c r="G20" s="7"/>
      <c r="H20" s="7"/>
      <c r="I20" s="7"/>
      <c r="J20" s="7"/>
      <c r="K20" s="33">
        <f t="shared" si="0"/>
        <v>25</v>
      </c>
    </row>
    <row r="21" spans="2:11" ht="15.75" thickBot="1" x14ac:dyDescent="0.3">
      <c r="B21" s="20" t="s">
        <v>30</v>
      </c>
      <c r="C21" s="20"/>
      <c r="D21" s="20"/>
      <c r="E21" s="20"/>
      <c r="F21" s="22">
        <f>+'Company Financials'!F33</f>
        <v>0</v>
      </c>
      <c r="G21" s="22"/>
      <c r="H21" s="22"/>
      <c r="I21" s="22">
        <f>+I31-I15</f>
        <v>40</v>
      </c>
      <c r="J21" s="22"/>
      <c r="K21" s="81">
        <f t="shared" si="0"/>
        <v>40</v>
      </c>
    </row>
    <row r="22" spans="2:11" ht="15.75" thickTop="1" x14ac:dyDescent="0.25">
      <c r="B22" s="3" t="s">
        <v>31</v>
      </c>
      <c r="C22" s="3"/>
      <c r="D22" s="3"/>
      <c r="E22" s="3"/>
      <c r="F22" s="15">
        <f>+F19+F20+F21</f>
        <v>90</v>
      </c>
      <c r="G22" s="15"/>
      <c r="H22" s="15"/>
      <c r="I22" s="15"/>
      <c r="J22" s="15"/>
      <c r="K22" s="82">
        <f>+K19+K20+K21</f>
        <v>110</v>
      </c>
    </row>
    <row r="23" spans="2:11" x14ac:dyDescent="0.25">
      <c r="F23" s="7"/>
      <c r="G23" s="7"/>
      <c r="H23" s="7"/>
      <c r="I23" s="7"/>
      <c r="J23" s="7"/>
      <c r="K23" s="33"/>
    </row>
    <row r="24" spans="2:11" x14ac:dyDescent="0.25">
      <c r="B24" s="25" t="s">
        <v>33</v>
      </c>
      <c r="F24" s="7"/>
      <c r="G24" s="7"/>
      <c r="H24" s="7"/>
      <c r="I24" s="7"/>
      <c r="J24" s="7"/>
      <c r="K24" s="33"/>
    </row>
    <row r="25" spans="2:11" x14ac:dyDescent="0.25">
      <c r="B25" t="s">
        <v>34</v>
      </c>
      <c r="F25" s="8">
        <f>+'Company Financials'!F37</f>
        <v>0</v>
      </c>
      <c r="G25" s="7">
        <f>-F25</f>
        <v>0</v>
      </c>
      <c r="H25" s="7"/>
      <c r="I25" s="7"/>
      <c r="J25" s="7"/>
      <c r="K25" s="33">
        <f t="shared" ref="K25:K27" si="1">+SUM(F25:J25)</f>
        <v>0</v>
      </c>
    </row>
    <row r="26" spans="2:11" x14ac:dyDescent="0.25">
      <c r="B26" t="s">
        <v>35</v>
      </c>
      <c r="F26" s="8">
        <f>+'Company Financials'!F38</f>
        <v>5</v>
      </c>
      <c r="G26" s="7">
        <f>-F26</f>
        <v>-5</v>
      </c>
      <c r="H26" s="7">
        <f>+E39</f>
        <v>3.75</v>
      </c>
      <c r="I26" s="7"/>
      <c r="J26" s="7"/>
      <c r="K26" s="33">
        <f t="shared" si="1"/>
        <v>3.75</v>
      </c>
    </row>
    <row r="27" spans="2:11" x14ac:dyDescent="0.25">
      <c r="B27" t="s">
        <v>36</v>
      </c>
      <c r="F27" s="8">
        <f>+'Company Financials'!F39</f>
        <v>10</v>
      </c>
      <c r="G27" s="7"/>
      <c r="H27" s="7"/>
      <c r="I27" s="7"/>
      <c r="J27" s="7"/>
      <c r="K27" s="33">
        <f t="shared" si="1"/>
        <v>10</v>
      </c>
    </row>
    <row r="28" spans="2:11" x14ac:dyDescent="0.25">
      <c r="B28" s="13" t="s">
        <v>37</v>
      </c>
      <c r="C28" s="13"/>
      <c r="D28" s="13"/>
      <c r="E28" s="13"/>
      <c r="F28" s="57">
        <f>SUM(F25:F27)</f>
        <v>15</v>
      </c>
      <c r="G28" s="31"/>
      <c r="H28" s="31"/>
      <c r="I28" s="31"/>
      <c r="J28" s="31"/>
      <c r="K28" s="57">
        <f>SUM(K25:K27)</f>
        <v>13.75</v>
      </c>
    </row>
    <row r="29" spans="2:11" x14ac:dyDescent="0.25">
      <c r="B29" t="s">
        <v>94</v>
      </c>
      <c r="F29" s="8">
        <f>+'Company Financials'!F41</f>
        <v>20</v>
      </c>
      <c r="G29" s="7">
        <f>-F29</f>
        <v>-20</v>
      </c>
      <c r="H29" s="38">
        <f>+E5-H26</f>
        <v>26.25</v>
      </c>
      <c r="I29" s="7"/>
      <c r="J29" s="7"/>
      <c r="K29" s="33">
        <f t="shared" ref="K29:K31" si="2">+SUM(F29:J29)</f>
        <v>26.25</v>
      </c>
    </row>
    <row r="30" spans="2:11" x14ac:dyDescent="0.25">
      <c r="B30" t="s">
        <v>95</v>
      </c>
      <c r="F30" s="8"/>
      <c r="G30" s="7"/>
      <c r="H30" s="7">
        <f>+E6</f>
        <v>12</v>
      </c>
      <c r="I30" s="7"/>
      <c r="J30" s="7"/>
      <c r="K30" s="33">
        <f t="shared" si="2"/>
        <v>12</v>
      </c>
    </row>
    <row r="31" spans="2:11" ht="15.75" thickBot="1" x14ac:dyDescent="0.3">
      <c r="B31" t="s">
        <v>39</v>
      </c>
      <c r="F31" s="8">
        <f>+'Company Financials'!F42</f>
        <v>55</v>
      </c>
      <c r="G31" s="7"/>
      <c r="H31" s="7">
        <f>+E7</f>
        <v>60</v>
      </c>
      <c r="I31" s="7">
        <f>-F31</f>
        <v>-55</v>
      </c>
      <c r="J31" s="7">
        <f>+J15</f>
        <v>-2</v>
      </c>
      <c r="K31" s="33">
        <f t="shared" si="2"/>
        <v>58</v>
      </c>
    </row>
    <row r="32" spans="2:11" ht="15.75" thickTop="1" x14ac:dyDescent="0.25">
      <c r="B32" s="28" t="s">
        <v>40</v>
      </c>
      <c r="C32" s="28"/>
      <c r="D32" s="28"/>
      <c r="E32" s="28"/>
      <c r="F32" s="32">
        <f>SUM(F28:F31)</f>
        <v>90</v>
      </c>
      <c r="G32" s="77">
        <f>+SUM(G25:G31)-SUM(G15:G21)</f>
        <v>0</v>
      </c>
      <c r="H32" s="77">
        <f>+SUM(H25:H31)-SUM(H15:H21)</f>
        <v>0</v>
      </c>
      <c r="I32" s="77">
        <f>+SUM(I25:I31)-SUM(I15:I21)</f>
        <v>0</v>
      </c>
      <c r="J32" s="77">
        <f>+SUM(J25:J31)-SUM(J15:J21)</f>
        <v>0</v>
      </c>
      <c r="K32" s="32">
        <f>SUM(K28:K31)</f>
        <v>110</v>
      </c>
    </row>
    <row r="33" spans="2:11" x14ac:dyDescent="0.25">
      <c r="B33" s="17" t="s">
        <v>41</v>
      </c>
      <c r="F33" s="33"/>
      <c r="G33" s="33"/>
      <c r="H33" s="33"/>
      <c r="I33" s="33"/>
      <c r="J33" s="33"/>
      <c r="K33" s="33"/>
    </row>
    <row r="34" spans="2:11" x14ac:dyDescent="0.25">
      <c r="K34" s="33">
        <f>+K32-K22</f>
        <v>0</v>
      </c>
    </row>
    <row r="36" spans="2:11" x14ac:dyDescent="0.25">
      <c r="B36" t="s">
        <v>126</v>
      </c>
    </row>
    <row r="37" spans="2:11" x14ac:dyDescent="0.25">
      <c r="B37" t="s">
        <v>114</v>
      </c>
      <c r="E37" s="9">
        <f>+E5</f>
        <v>30</v>
      </c>
    </row>
    <row r="38" spans="2:11" x14ac:dyDescent="0.25">
      <c r="B38" t="s">
        <v>77</v>
      </c>
      <c r="E38" s="69">
        <f>+Assumptions!H9</f>
        <v>8</v>
      </c>
    </row>
    <row r="39" spans="2:11" x14ac:dyDescent="0.25">
      <c r="B39" t="s">
        <v>127</v>
      </c>
      <c r="E39">
        <f>+E37/E38</f>
        <v>3.75</v>
      </c>
    </row>
  </sheetData>
  <conditionalFormatting sqref="F33:K3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C2:F14"/>
  <sheetViews>
    <sheetView zoomScale="150" zoomScaleNormal="150" workbookViewId="0">
      <selection activeCell="C26" sqref="C26"/>
    </sheetView>
  </sheetViews>
  <sheetFormatPr defaultRowHeight="15" x14ac:dyDescent="0.25"/>
  <sheetData>
    <row r="2" spans="3:6" x14ac:dyDescent="0.25">
      <c r="C2" t="s">
        <v>1</v>
      </c>
    </row>
    <row r="3" spans="3:6" x14ac:dyDescent="0.25">
      <c r="E3" s="1">
        <v>2013</v>
      </c>
      <c r="F3" s="1">
        <f>+E3+1</f>
        <v>2014</v>
      </c>
    </row>
    <row r="4" spans="3:6" x14ac:dyDescent="0.25">
      <c r="C4" t="s">
        <v>0</v>
      </c>
      <c r="E4" s="9">
        <v>100</v>
      </c>
      <c r="F4" s="9">
        <v>120</v>
      </c>
    </row>
    <row r="5" spans="3:6" x14ac:dyDescent="0.25">
      <c r="C5" t="s">
        <v>2</v>
      </c>
      <c r="E5" s="9">
        <v>-50</v>
      </c>
      <c r="F5" s="9">
        <v>-65</v>
      </c>
    </row>
    <row r="6" spans="3:6" x14ac:dyDescent="0.25">
      <c r="C6" s="3" t="s">
        <v>3</v>
      </c>
      <c r="D6" s="3"/>
      <c r="E6" s="10">
        <f t="shared" ref="E6:F6" si="0">+E4+E5</f>
        <v>50</v>
      </c>
      <c r="F6" s="10">
        <f t="shared" si="0"/>
        <v>55</v>
      </c>
    </row>
    <row r="7" spans="3:6" x14ac:dyDescent="0.25">
      <c r="C7" t="s">
        <v>4</v>
      </c>
      <c r="E7" s="9">
        <v>-20</v>
      </c>
      <c r="F7" s="9">
        <v>-22</v>
      </c>
    </row>
    <row r="8" spans="3:6" x14ac:dyDescent="0.25">
      <c r="C8" t="s">
        <v>5</v>
      </c>
      <c r="E8" s="9">
        <v>-20</v>
      </c>
      <c r="F8" s="9">
        <v>-21</v>
      </c>
    </row>
    <row r="9" spans="3:6" x14ac:dyDescent="0.25">
      <c r="C9" t="s">
        <v>6</v>
      </c>
      <c r="E9" s="9">
        <f t="shared" ref="E9:F9" si="1">+E6+E7+E8</f>
        <v>10</v>
      </c>
      <c r="F9" s="9">
        <f t="shared" si="1"/>
        <v>12</v>
      </c>
    </row>
    <row r="10" spans="3:6" x14ac:dyDescent="0.25">
      <c r="E10" s="9"/>
      <c r="F10" s="9"/>
    </row>
    <row r="11" spans="3:6" x14ac:dyDescent="0.25">
      <c r="E11" s="9"/>
      <c r="F11" s="9"/>
    </row>
    <row r="12" spans="3:6" x14ac:dyDescent="0.25">
      <c r="E12" s="9"/>
      <c r="F12" s="9"/>
    </row>
    <row r="13" spans="3:6" x14ac:dyDescent="0.25">
      <c r="E13" s="9"/>
      <c r="F13" s="9"/>
    </row>
    <row r="14" spans="3:6" x14ac:dyDescent="0.25">
      <c r="E14" s="9"/>
      <c r="F1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Company Financials</vt:lpstr>
      <vt:lpstr>LBO Model</vt:lpstr>
      <vt:lpstr>LBO Model Acquisition BS</vt:lpstr>
      <vt:lpstr>Raw data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Renaud, Nicolas</cp:lastModifiedBy>
  <cp:lastPrinted>2014-10-06T22:33:55Z</cp:lastPrinted>
  <dcterms:created xsi:type="dcterms:W3CDTF">2014-10-05T13:58:37Z</dcterms:created>
  <dcterms:modified xsi:type="dcterms:W3CDTF">2014-10-06T22:49:28Z</dcterms:modified>
</cp:coreProperties>
</file>