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activeTab="1"/>
  </bookViews>
  <sheets>
    <sheet name="Assumptions" sheetId="1" r:id="rId1"/>
    <sheet name="Company Financials" sheetId="2" r:id="rId2"/>
    <sheet name="Raw data" sheetId="3" r:id="rId3"/>
    <sheet name="Sheet1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7" i="2" l="1"/>
  <c r="C127" i="2"/>
  <c r="F116" i="2"/>
  <c r="C122" i="2"/>
  <c r="H124" i="2" s="1"/>
  <c r="H125" i="2" s="1"/>
  <c r="D122" i="2"/>
  <c r="L121" i="2" s="1"/>
  <c r="L122" i="2" s="1"/>
  <c r="G124" i="2"/>
  <c r="G125" i="2" s="1"/>
  <c r="I123" i="2"/>
  <c r="J123" i="2" s="1"/>
  <c r="K123" i="2" s="1"/>
  <c r="H123" i="2"/>
  <c r="G114" i="2"/>
  <c r="H114" i="2" s="1"/>
  <c r="I114" i="2" s="1"/>
  <c r="J114" i="2" s="1"/>
  <c r="K114" i="2" s="1"/>
  <c r="B114" i="2"/>
  <c r="B120" i="2"/>
  <c r="K41" i="2"/>
  <c r="K38" i="2"/>
  <c r="K109" i="2"/>
  <c r="C107" i="2"/>
  <c r="C104" i="2"/>
  <c r="G104" i="2" s="1"/>
  <c r="G103" i="2"/>
  <c r="F105" i="2"/>
  <c r="B102" i="2"/>
  <c r="G102" i="2"/>
  <c r="H102" i="2" s="1"/>
  <c r="I102" i="2" s="1"/>
  <c r="J102" i="2" s="1"/>
  <c r="K102" i="2" s="1"/>
  <c r="K124" i="2" l="1"/>
  <c r="L124" i="2" s="1"/>
  <c r="L125" i="2" s="1"/>
  <c r="C125" i="2" s="1"/>
  <c r="J124" i="2"/>
  <c r="J125" i="2" s="1"/>
  <c r="I124" i="2"/>
  <c r="I125" i="2" s="1"/>
  <c r="K125" i="2"/>
  <c r="H104" i="2"/>
  <c r="G58" i="2"/>
  <c r="G107" i="2"/>
  <c r="G12" i="2" s="1"/>
  <c r="G105" i="2"/>
  <c r="H33" i="2"/>
  <c r="I33" i="2"/>
  <c r="J33" i="2"/>
  <c r="K33" i="2"/>
  <c r="G33" i="2"/>
  <c r="C97" i="2"/>
  <c r="G97" i="2" s="1"/>
  <c r="G11" i="2" s="1"/>
  <c r="G49" i="2" s="1"/>
  <c r="G95" i="2"/>
  <c r="F98" i="2"/>
  <c r="B94" i="2"/>
  <c r="G94" i="2"/>
  <c r="H94" i="2" s="1"/>
  <c r="I94" i="2" s="1"/>
  <c r="J94" i="2" s="1"/>
  <c r="K94" i="2" s="1"/>
  <c r="H30" i="2"/>
  <c r="I30" i="2"/>
  <c r="J30" i="2"/>
  <c r="K30" i="2"/>
  <c r="G30" i="2"/>
  <c r="F89" i="2"/>
  <c r="H87" i="2"/>
  <c r="I87" i="2"/>
  <c r="C87" i="2"/>
  <c r="J87" i="2" s="1"/>
  <c r="H84" i="2"/>
  <c r="I84" i="2"/>
  <c r="J84" i="2" s="1"/>
  <c r="K84" i="2" s="1"/>
  <c r="G84" i="2"/>
  <c r="C82" i="2"/>
  <c r="G82" i="2" s="1"/>
  <c r="C79" i="2"/>
  <c r="K79" i="2" s="1"/>
  <c r="F86" i="2"/>
  <c r="F84" i="2"/>
  <c r="F81" i="2"/>
  <c r="F78" i="2"/>
  <c r="B86" i="2"/>
  <c r="B84" i="2"/>
  <c r="B81" i="2"/>
  <c r="B78" i="2"/>
  <c r="B74" i="2"/>
  <c r="H74" i="2"/>
  <c r="I74" i="2" s="1"/>
  <c r="J74" i="2" s="1"/>
  <c r="K74" i="2" s="1"/>
  <c r="G74" i="2"/>
  <c r="G87" i="2" l="1"/>
  <c r="H103" i="2"/>
  <c r="G110" i="2"/>
  <c r="G41" i="2" s="1"/>
  <c r="K87" i="2"/>
  <c r="G109" i="2"/>
  <c r="G38" i="2" s="1"/>
  <c r="I104" i="2"/>
  <c r="H58" i="2"/>
  <c r="H61" i="2" s="1"/>
  <c r="G79" i="2"/>
  <c r="K82" i="2"/>
  <c r="J82" i="2"/>
  <c r="I82" i="2"/>
  <c r="H82" i="2"/>
  <c r="J79" i="2"/>
  <c r="I79" i="2"/>
  <c r="H79" i="2"/>
  <c r="G61" i="2"/>
  <c r="G65" i="2"/>
  <c r="F67" i="2"/>
  <c r="F63" i="2"/>
  <c r="E63" i="2"/>
  <c r="G47" i="2"/>
  <c r="H47" i="2" s="1"/>
  <c r="I47" i="2" s="1"/>
  <c r="J47" i="2" s="1"/>
  <c r="K47" i="2" s="1"/>
  <c r="F40" i="2"/>
  <c r="F43" i="2" s="1"/>
  <c r="F31" i="2"/>
  <c r="F34" i="2" s="1"/>
  <c r="G25" i="2"/>
  <c r="H25" i="2" s="1"/>
  <c r="I25" i="2" s="1"/>
  <c r="J25" i="2" s="1"/>
  <c r="K25" i="2" s="1"/>
  <c r="C21" i="2"/>
  <c r="H21" i="2" s="1"/>
  <c r="B19" i="2"/>
  <c r="B25" i="2" s="1"/>
  <c r="B47" i="2" s="1"/>
  <c r="G19" i="2"/>
  <c r="H19" i="2" s="1"/>
  <c r="I19" i="2" s="1"/>
  <c r="J19" i="2" s="1"/>
  <c r="K19" i="2" s="1"/>
  <c r="E9" i="2"/>
  <c r="F8" i="2"/>
  <c r="F10" i="2"/>
  <c r="F13" i="2" s="1"/>
  <c r="C14" i="2"/>
  <c r="C117" i="2" s="1"/>
  <c r="C9" i="2"/>
  <c r="C8" i="2"/>
  <c r="C7" i="2"/>
  <c r="G7" i="2" s="1"/>
  <c r="C4" i="2"/>
  <c r="F4" i="2"/>
  <c r="F5" i="2"/>
  <c r="F76" i="2" s="1"/>
  <c r="F87" i="2" s="1"/>
  <c r="F6" i="2"/>
  <c r="F9" i="2"/>
  <c r="E5" i="2"/>
  <c r="E76" i="2" s="1"/>
  <c r="E6" i="2"/>
  <c r="E8" i="2"/>
  <c r="E10" i="2"/>
  <c r="E13" i="2" s="1"/>
  <c r="E4" i="2"/>
  <c r="B4" i="2"/>
  <c r="B75" i="2" s="1"/>
  <c r="B5" i="2"/>
  <c r="B76" i="2" s="1"/>
  <c r="B8" i="2"/>
  <c r="B9" i="2"/>
  <c r="B10" i="2"/>
  <c r="E9" i="3"/>
  <c r="F9" i="3"/>
  <c r="E6" i="3"/>
  <c r="F6" i="3"/>
  <c r="F3" i="3"/>
  <c r="G3" i="2"/>
  <c r="H3" i="2"/>
  <c r="I3" i="2" s="1"/>
  <c r="J3" i="2" s="1"/>
  <c r="K3" i="2" s="1"/>
  <c r="I58" i="2" l="1"/>
  <c r="I61" i="2" s="1"/>
  <c r="H109" i="2"/>
  <c r="H38" i="2" s="1"/>
  <c r="J104" i="2"/>
  <c r="C118" i="2"/>
  <c r="H105" i="2"/>
  <c r="H107" i="2"/>
  <c r="H12" i="2" s="1"/>
  <c r="E14" i="2"/>
  <c r="E15" i="2" s="1"/>
  <c r="E21" i="2"/>
  <c r="E75" i="2"/>
  <c r="F21" i="2"/>
  <c r="F75" i="2"/>
  <c r="F44" i="2"/>
  <c r="K7" i="2"/>
  <c r="F14" i="2"/>
  <c r="F15" i="2" s="1"/>
  <c r="J7" i="2"/>
  <c r="I7" i="2"/>
  <c r="F7" i="2"/>
  <c r="H7" i="2"/>
  <c r="G21" i="2"/>
  <c r="K21" i="2"/>
  <c r="J21" i="2"/>
  <c r="I21" i="2"/>
  <c r="E7" i="2"/>
  <c r="G4" i="2"/>
  <c r="G9" i="2" s="1"/>
  <c r="I103" i="2" l="1"/>
  <c r="H110" i="2"/>
  <c r="H41" i="2" s="1"/>
  <c r="G118" i="2"/>
  <c r="K104" i="2"/>
  <c r="I109" i="2"/>
  <c r="I38" i="2" s="1"/>
  <c r="J58" i="2"/>
  <c r="J61" i="2" s="1"/>
  <c r="F79" i="2"/>
  <c r="F82" i="2"/>
  <c r="G8" i="2"/>
  <c r="G75" i="2"/>
  <c r="G6" i="2"/>
  <c r="G20" i="2"/>
  <c r="G119" i="2" s="1"/>
  <c r="H4" i="2"/>
  <c r="H75" i="2" s="1"/>
  <c r="K58" i="2" l="1"/>
  <c r="K61" i="2" s="1"/>
  <c r="J109" i="2"/>
  <c r="J38" i="2" s="1"/>
  <c r="I105" i="2"/>
  <c r="I107" i="2"/>
  <c r="I12" i="2" s="1"/>
  <c r="G54" i="2"/>
  <c r="G55" i="2" s="1"/>
  <c r="G96" i="2"/>
  <c r="G98" i="2" s="1"/>
  <c r="H78" i="2"/>
  <c r="H81" i="2"/>
  <c r="H29" i="2" s="1"/>
  <c r="G78" i="2"/>
  <c r="G81" i="2"/>
  <c r="G29" i="2" s="1"/>
  <c r="G10" i="2"/>
  <c r="G5" i="2"/>
  <c r="G76" i="2" s="1"/>
  <c r="G86" i="2" s="1"/>
  <c r="G39" i="2" s="1"/>
  <c r="G40" i="2" s="1"/>
  <c r="H6" i="2"/>
  <c r="H8" i="2"/>
  <c r="H20" i="2"/>
  <c r="H119" i="2" s="1"/>
  <c r="H9" i="2"/>
  <c r="I4" i="2"/>
  <c r="I75" i="2" s="1"/>
  <c r="H95" i="2" l="1"/>
  <c r="H97" i="2" s="1"/>
  <c r="H11" i="2" s="1"/>
  <c r="G32" i="2"/>
  <c r="G13" i="2"/>
  <c r="G14" i="2" s="1"/>
  <c r="G116" i="2"/>
  <c r="G117" i="2" s="1"/>
  <c r="J103" i="2"/>
  <c r="I110" i="2"/>
  <c r="I41" i="2" s="1"/>
  <c r="H54" i="2"/>
  <c r="H55" i="2" s="1"/>
  <c r="H96" i="2"/>
  <c r="H98" i="2" s="1"/>
  <c r="H28" i="2"/>
  <c r="I78" i="2"/>
  <c r="I81" i="2"/>
  <c r="I29" i="2" s="1"/>
  <c r="G89" i="2"/>
  <c r="G90" i="2" s="1"/>
  <c r="G28" i="2"/>
  <c r="G15" i="2"/>
  <c r="G48" i="2" s="1"/>
  <c r="I6" i="2"/>
  <c r="I8" i="2"/>
  <c r="I9" i="2"/>
  <c r="I20" i="2"/>
  <c r="I119" i="2" s="1"/>
  <c r="H10" i="2"/>
  <c r="H5" i="2"/>
  <c r="H76" i="2" s="1"/>
  <c r="H86" i="2" s="1"/>
  <c r="H39" i="2" s="1"/>
  <c r="H40" i="2" s="1"/>
  <c r="J4" i="2"/>
  <c r="J75" i="2" s="1"/>
  <c r="I95" i="2" l="1"/>
  <c r="I97" i="2" s="1"/>
  <c r="I11" i="2" s="1"/>
  <c r="H32" i="2"/>
  <c r="G50" i="2"/>
  <c r="G120" i="2"/>
  <c r="G121" i="2" s="1"/>
  <c r="J105" i="2"/>
  <c r="J107" i="2"/>
  <c r="J12" i="2" s="1"/>
  <c r="H13" i="2"/>
  <c r="H14" i="2" s="1"/>
  <c r="H15" i="2" s="1"/>
  <c r="H48" i="2" s="1"/>
  <c r="H116" i="2"/>
  <c r="H117" i="2" s="1"/>
  <c r="H49" i="2"/>
  <c r="H118" i="2"/>
  <c r="G52" i="2"/>
  <c r="G63" i="2" s="1"/>
  <c r="G66" i="2" s="1"/>
  <c r="G67" i="2" s="1"/>
  <c r="H65" i="2" s="1"/>
  <c r="I54" i="2"/>
  <c r="I55" i="2" s="1"/>
  <c r="I96" i="2"/>
  <c r="I98" i="2"/>
  <c r="J81" i="2"/>
  <c r="J29" i="2" s="1"/>
  <c r="J78" i="2"/>
  <c r="I28" i="2"/>
  <c r="H89" i="2"/>
  <c r="H90" i="2" s="1"/>
  <c r="G42" i="2"/>
  <c r="G43" i="2" s="1"/>
  <c r="I10" i="2"/>
  <c r="I5" i="2"/>
  <c r="I76" i="2" s="1"/>
  <c r="I86" i="2" s="1"/>
  <c r="I39" i="2" s="1"/>
  <c r="I40" i="2" s="1"/>
  <c r="J6" i="2"/>
  <c r="J8" i="2"/>
  <c r="J9" i="2"/>
  <c r="J20" i="2"/>
  <c r="J119" i="2" s="1"/>
  <c r="K4" i="2"/>
  <c r="K103" i="2" l="1"/>
  <c r="J110" i="2"/>
  <c r="J41" i="2" s="1"/>
  <c r="H121" i="2"/>
  <c r="J95" i="2"/>
  <c r="J97" i="2" s="1"/>
  <c r="J11" i="2" s="1"/>
  <c r="I32" i="2"/>
  <c r="I13" i="2"/>
  <c r="I14" i="2" s="1"/>
  <c r="I15" i="2" s="1"/>
  <c r="I48" i="2" s="1"/>
  <c r="I116" i="2"/>
  <c r="I117" i="2" s="1"/>
  <c r="H50" i="2"/>
  <c r="H52" i="2" s="1"/>
  <c r="H63" i="2" s="1"/>
  <c r="H66" i="2" s="1"/>
  <c r="H67" i="2" s="1"/>
  <c r="H120" i="2"/>
  <c r="I89" i="2"/>
  <c r="I90" i="2" s="1"/>
  <c r="I49" i="2"/>
  <c r="I118" i="2"/>
  <c r="G27" i="2"/>
  <c r="G31" i="2" s="1"/>
  <c r="G34" i="2" s="1"/>
  <c r="G44" i="2" s="1"/>
  <c r="J54" i="2"/>
  <c r="J55" i="2" s="1"/>
  <c r="J96" i="2"/>
  <c r="J98" i="2" s="1"/>
  <c r="J28" i="2"/>
  <c r="K75" i="2"/>
  <c r="L4" i="2"/>
  <c r="H42" i="2"/>
  <c r="H43" i="2" s="1"/>
  <c r="J5" i="2"/>
  <c r="J76" i="2" s="1"/>
  <c r="J86" i="2" s="1"/>
  <c r="J39" i="2" s="1"/>
  <c r="J40" i="2" s="1"/>
  <c r="J10" i="2"/>
  <c r="K6" i="2"/>
  <c r="L6" i="2" s="1"/>
  <c r="K8" i="2"/>
  <c r="L8" i="2" s="1"/>
  <c r="K9" i="2"/>
  <c r="L9" i="2" s="1"/>
  <c r="K20" i="2"/>
  <c r="K119" i="2" s="1"/>
  <c r="I50" i="2" l="1"/>
  <c r="I120" i="2"/>
  <c r="K95" i="2"/>
  <c r="K97" i="2" s="1"/>
  <c r="K11" i="2" s="1"/>
  <c r="J32" i="2"/>
  <c r="J13" i="2"/>
  <c r="J116" i="2"/>
  <c r="J117" i="2" s="1"/>
  <c r="I121" i="2"/>
  <c r="J49" i="2"/>
  <c r="J118" i="2"/>
  <c r="K105" i="2"/>
  <c r="K107" i="2"/>
  <c r="K12" i="2" s="1"/>
  <c r="I52" i="2"/>
  <c r="I63" i="2" s="1"/>
  <c r="I66" i="2" s="1"/>
  <c r="L20" i="2"/>
  <c r="K54" i="2"/>
  <c r="K55" i="2" s="1"/>
  <c r="K96" i="2"/>
  <c r="K98" i="2" s="1"/>
  <c r="K32" i="2" s="1"/>
  <c r="K78" i="2"/>
  <c r="K81" i="2"/>
  <c r="K29" i="2" s="1"/>
  <c r="J89" i="2"/>
  <c r="J90" i="2" s="1"/>
  <c r="I42" i="2"/>
  <c r="I43" i="2" s="1"/>
  <c r="I65" i="2"/>
  <c r="H27" i="2"/>
  <c r="H31" i="2" s="1"/>
  <c r="H34" i="2" s="1"/>
  <c r="H44" i="2" s="1"/>
  <c r="J14" i="2"/>
  <c r="J15" i="2" s="1"/>
  <c r="K5" i="2"/>
  <c r="K10" i="2"/>
  <c r="K116" i="2" s="1"/>
  <c r="K117" i="2" s="1"/>
  <c r="K49" i="2" l="1"/>
  <c r="K118" i="2"/>
  <c r="J50" i="2"/>
  <c r="J120" i="2"/>
  <c r="J121" i="2" s="1"/>
  <c r="I67" i="2"/>
  <c r="J65" i="2" s="1"/>
  <c r="K28" i="2"/>
  <c r="K13" i="2"/>
  <c r="L13" i="2" s="1"/>
  <c r="L10" i="2"/>
  <c r="L5" i="2"/>
  <c r="K76" i="2"/>
  <c r="K86" i="2" s="1"/>
  <c r="K39" i="2" s="1"/>
  <c r="K40" i="2" s="1"/>
  <c r="J48" i="2"/>
  <c r="J42" i="2"/>
  <c r="I27" i="2" l="1"/>
  <c r="I31" i="2" s="1"/>
  <c r="I34" i="2" s="1"/>
  <c r="I44" i="2" s="1"/>
  <c r="K14" i="2"/>
  <c r="K15" i="2" s="1"/>
  <c r="J52" i="2"/>
  <c r="J63" i="2" s="1"/>
  <c r="J66" i="2" s="1"/>
  <c r="J67" i="2" s="1"/>
  <c r="K89" i="2"/>
  <c r="K90" i="2" s="1"/>
  <c r="K48" i="2"/>
  <c r="L15" i="2"/>
  <c r="K42" i="2"/>
  <c r="K43" i="2" s="1"/>
  <c r="J43" i="2"/>
  <c r="K50" i="2" l="1"/>
  <c r="K120" i="2"/>
  <c r="K121" i="2" s="1"/>
  <c r="K52" i="2"/>
  <c r="K63" i="2" s="1"/>
  <c r="K66" i="2" s="1"/>
  <c r="K65" i="2"/>
  <c r="J27" i="2"/>
  <c r="J31" i="2" s="1"/>
  <c r="J34" i="2" s="1"/>
  <c r="J44" i="2" s="1"/>
  <c r="K67" i="2" l="1"/>
  <c r="K27" i="2" s="1"/>
  <c r="K31" i="2" s="1"/>
  <c r="K34" i="2" s="1"/>
  <c r="K44" i="2" s="1"/>
</calcChain>
</file>

<file path=xl/sharedStrings.xml><?xml version="1.0" encoding="utf-8"?>
<sst xmlns="http://schemas.openxmlformats.org/spreadsheetml/2006/main" count="107" uniqueCount="91">
  <si>
    <t>Sales</t>
  </si>
  <si>
    <t>Summary P&amp;L</t>
  </si>
  <si>
    <t>COGS</t>
  </si>
  <si>
    <t>Gross Margin</t>
  </si>
  <si>
    <t>S&amp;M</t>
  </si>
  <si>
    <t>Opex</t>
  </si>
  <si>
    <t>EBITDA</t>
  </si>
  <si>
    <t>D&amp;A</t>
  </si>
  <si>
    <t>Interest</t>
  </si>
  <si>
    <t>Tax</t>
  </si>
  <si>
    <t>CAGR</t>
  </si>
  <si>
    <t>P&amp;L</t>
  </si>
  <si>
    <t>Sales CAGR</t>
  </si>
  <si>
    <t>Gross Profit</t>
  </si>
  <si>
    <t>S&amp;M as % of Sales</t>
  </si>
  <si>
    <t>Profit before Tax</t>
  </si>
  <si>
    <t>Net income</t>
  </si>
  <si>
    <t>Tax Rate</t>
  </si>
  <si>
    <t>CAPEX</t>
  </si>
  <si>
    <t>Capex</t>
  </si>
  <si>
    <t>C$ - MM</t>
  </si>
  <si>
    <t>Capex as a % of Sales</t>
  </si>
  <si>
    <t>capex as a % of sales</t>
  </si>
  <si>
    <t>Balance Sheet</t>
  </si>
  <si>
    <t>Cash</t>
  </si>
  <si>
    <t>Receivables</t>
  </si>
  <si>
    <t xml:space="preserve">Inventory </t>
  </si>
  <si>
    <t>prepaids</t>
  </si>
  <si>
    <t>Short Term Assets</t>
  </si>
  <si>
    <t>PP&amp;E</t>
  </si>
  <si>
    <t>Goodwill and intangibles</t>
  </si>
  <si>
    <t>Total Assets</t>
  </si>
  <si>
    <t>Assets</t>
  </si>
  <si>
    <t>Liabilities</t>
  </si>
  <si>
    <t>Revolver</t>
  </si>
  <si>
    <t>Short term debt</t>
  </si>
  <si>
    <t>Payables</t>
  </si>
  <si>
    <t>Short term Liabilities</t>
  </si>
  <si>
    <t>longterm debt</t>
  </si>
  <si>
    <t>Equity</t>
  </si>
  <si>
    <t>Total Liabilities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</si>
  <si>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</si>
  <si>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</si>
  <si>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</si>
  <si>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</si>
  <si>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</si>
  <si>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</si>
  <si>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</si>
  <si>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</si>
  <si>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</si>
  <si>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</si>
  <si>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</si>
  <si>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</si>
  <si>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</si>
  <si>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</si>
  <si>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</si>
  <si>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</si>
  <si>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</si>
  <si>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</si>
  <si>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Opex as a % of Sales</t>
  </si>
  <si>
    <t>WORKING CAPITAL</t>
  </si>
  <si>
    <t>Payables (Days of COGS)</t>
  </si>
  <si>
    <t>Inventory (DSO)</t>
  </si>
  <si>
    <t>Receivables (DSO)</t>
  </si>
  <si>
    <t xml:space="preserve">DSO </t>
  </si>
  <si>
    <t>Days of COGS</t>
  </si>
  <si>
    <t>Change in WC</t>
  </si>
  <si>
    <t>PP&amp;E SCHEDULE</t>
  </si>
  <si>
    <t>BoP PP&amp;E</t>
  </si>
  <si>
    <t>EoP PP&amp;E</t>
  </si>
  <si>
    <t>D&amp;A as a % of PP&amp;E</t>
  </si>
  <si>
    <t>Debt Schedule</t>
  </si>
  <si>
    <t>BoP Debt</t>
  </si>
  <si>
    <t>EoP Debt</t>
  </si>
  <si>
    <t>Short term Portion</t>
  </si>
  <si>
    <t>Long Term Portion</t>
  </si>
  <si>
    <t>Debt</t>
  </si>
  <si>
    <t>Armortisation (years)</t>
  </si>
  <si>
    <t>Debt Repaid</t>
  </si>
  <si>
    <t>DCF</t>
  </si>
  <si>
    <t>Free cash flow</t>
  </si>
  <si>
    <t>(1-t) * EBITDA</t>
  </si>
  <si>
    <t>t* D&amp;A</t>
  </si>
  <si>
    <t>DCF Addumptions</t>
  </si>
  <si>
    <t>WACC</t>
  </si>
  <si>
    <t>Terminal Growth Rate</t>
  </si>
  <si>
    <t>Terminal value</t>
  </si>
  <si>
    <t>wacc</t>
  </si>
  <si>
    <t>Terminal growth</t>
  </si>
  <si>
    <t>Discount factor (year)</t>
  </si>
  <si>
    <t>Actualised FCF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</si>
</sst>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#,##0.0"/>
    <numFmt numFmtId="177" formatCode="#,##0.0\x\ ;\(#,##0.0\x\)\ ;\-"/>
    <numFmt numFmtId="178" formatCode="#,##0.00\x\ ;\(#,##0.00\x\)\ ;\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  <fill>
      <patternFill patternType="solid">
        <fgColor theme="2" tint="9.9795525986510827E-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0" fillId="0" borderId="0" xfId="0" applyNumberFormat="1"/>
    <xf numFmtId="166" fontId="4" fillId="0" borderId="0" xfId="0" applyNumberFormat="1" applyFont="1"/>
    <xf numFmtId="167" fontId="0" fillId="0" borderId="0" xfId="0" applyNumberFormat="1"/>
    <xf numFmtId="167" fontId="3" fillId="0" borderId="0" xfId="0" applyNumberFormat="1" applyFont="1"/>
    <xf numFmtId="0" fontId="0" fillId="0" borderId="1" xfId="0" applyBorder="1"/>
    <xf numFmtId="167" fontId="0" fillId="0" borderId="1" xfId="0" applyNumberFormat="1" applyBorder="1"/>
    <xf numFmtId="0" fontId="3" fillId="0" borderId="2" xfId="0" applyFont="1" applyBorder="1"/>
    <xf numFmtId="167" fontId="3" fillId="0" borderId="2" xfId="0" applyNumberFormat="1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168" fontId="6" fillId="0" borderId="0" xfId="0" applyNumberFormat="1" applyFont="1"/>
    <xf numFmtId="9" fontId="7" fillId="0" borderId="0" xfId="0" applyNumberFormat="1" applyFont="1"/>
    <xf numFmtId="0" fontId="0" fillId="0" borderId="3" xfId="0" applyBorder="1"/>
    <xf numFmtId="9" fontId="5" fillId="0" borderId="3" xfId="0" applyNumberFormat="1" applyFont="1" applyBorder="1"/>
    <xf numFmtId="166" fontId="0" fillId="0" borderId="3" xfId="0" applyNumberForma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166" fontId="0" fillId="0" borderId="1" xfId="0" applyNumberFormat="1" applyBorder="1"/>
    <xf numFmtId="166" fontId="8" fillId="0" borderId="0" xfId="0" applyNumberFormat="1" applyFont="1"/>
    <xf numFmtId="166" fontId="3" fillId="0" borderId="2" xfId="0" applyNumberFormat="1" applyFont="1" applyBorder="1"/>
    <xf numFmtId="166" fontId="3" fillId="0" borderId="4" xfId="0" applyNumberFormat="1" applyFont="1" applyBorder="1"/>
    <xf numFmtId="169" fontId="0" fillId="0" borderId="0" xfId="0" applyNumberFormat="1"/>
    <xf numFmtId="0" fontId="9" fillId="5" borderId="2" xfId="0" applyFont="1" applyFill="1" applyBorder="1"/>
    <xf numFmtId="167" fontId="9" fillId="5" borderId="2" xfId="0" applyNumberFormat="1" applyFont="1" applyFill="1" applyBorder="1"/>
    <xf numFmtId="171" fontId="6" fillId="0" borderId="0" xfId="0" applyNumberFormat="1" applyFont="1"/>
    <xf numFmtId="0" fontId="9" fillId="4" borderId="0" xfId="0" applyFont="1" applyFill="1" applyAlignment="1">
      <alignment horizontal="centerContinuous"/>
    </xf>
    <xf numFmtId="172" fontId="0" fillId="0" borderId="0" xfId="0" applyNumberFormat="1"/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168" fontId="12" fillId="0" borderId="0" xfId="0" applyNumberFormat="1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2" fontId="6" fillId="0" borderId="0" xfId="0" applyNumberFormat="1" applyFont="1"/>
    <xf numFmtId="173" fontId="3" fillId="0" borderId="0" xfId="0" applyNumberFormat="1" applyFont="1"/>
    <xf numFmtId="166" fontId="0" fillId="0" borderId="0" xfId="0" applyNumberFormat="1" applyFont="1"/>
    <xf numFmtId="172" fontId="3" fillId="0" borderId="2" xfId="0" applyNumberFormat="1" applyFont="1" applyBorder="1"/>
    <xf numFmtId="170" fontId="5" fillId="0" borderId="1" xfId="0" applyNumberFormat="1" applyFont="1" applyBorder="1"/>
    <xf numFmtId="172" fontId="0" fillId="0" borderId="1" xfId="0" applyNumberFormat="1" applyBorder="1"/>
    <xf numFmtId="166" fontId="13" fillId="0" borderId="0" xfId="0" applyNumberFormat="1" applyFont="1"/>
    <xf numFmtId="170" fontId="12" fillId="0" borderId="0" xfId="0" applyNumberFormat="1" applyFont="1"/>
    <xf numFmtId="171" fontId="5" fillId="0" borderId="0" xfId="0" applyNumberFormat="1" applyFont="1"/>
    <xf numFmtId="172" fontId="3" fillId="0" borderId="0" xfId="0" applyNumberFormat="1" applyFont="1" applyFill="1" applyBorder="1"/>
    <xf numFmtId="177" fontId="0" fillId="0" borderId="0" xfId="0" applyNumberFormat="1"/>
    <xf numFmtId="178" fontId="0" fillId="0" borderId="0" xfId="0" applyNumberFormat="1"/>
    <xf numFmtId="172" fontId="3" fillId="0" borderId="5" xfId="0" applyNumberFormat="1" applyFont="1" applyBorder="1"/>
  </cellXfs>
  <cellStyles count="2">
    <cellStyle name="Normal" xfId="0" builtinId="0"/>
    <cellStyle name="Percent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17"/>
  <sheetViews>
    <sheetView zoomScale="130" zoomScaleNormal="130" workbookViewId="0">
      <selection activeCell="F5" sqref="F5"/>
    </sheetView>
  </sheetViews>
  <sheetFormatPr defaultRowHeight="15" x14ac:dyDescent="0.25"/>
  <cols>
    <col min="2" max="2" width="23.5703125" bestFit="1" customWidth="1"/>
    <col min="6" max="6" width="21.28515625" customWidth="1"/>
  </cols>
  <sheetData>
    <row r="2" spans="2:8" ht="24.95" customHeight="1" x14ac:dyDescent="0.25">
      <c r="B2" s="40" t="s">
        <v>11</v>
      </c>
      <c r="C2" s="39"/>
      <c r="D2" s="39"/>
      <c r="F2" s="40" t="s">
        <v>83</v>
      </c>
      <c r="G2" s="39"/>
      <c r="H2" s="39"/>
    </row>
    <row r="3" spans="2:8" x14ac:dyDescent="0.25">
      <c r="B3" t="s">
        <v>12</v>
      </c>
      <c r="D3" s="43">
        <v>0.15</v>
      </c>
      <c r="F3" t="s">
        <v>84</v>
      </c>
      <c r="H3" s="43">
        <v>0.11</v>
      </c>
    </row>
    <row r="4" spans="2:8" x14ac:dyDescent="0.25">
      <c r="B4" t="s">
        <v>3</v>
      </c>
      <c r="D4" s="43">
        <v>0.48</v>
      </c>
      <c r="F4" t="s">
        <v>85</v>
      </c>
      <c r="H4" s="53">
        <v>0.02</v>
      </c>
    </row>
    <row r="5" spans="2:8" x14ac:dyDescent="0.25">
      <c r="B5" t="s">
        <v>14</v>
      </c>
      <c r="D5" s="43">
        <v>0.2</v>
      </c>
    </row>
    <row r="6" spans="2:8" x14ac:dyDescent="0.25">
      <c r="B6" t="s">
        <v>59</v>
      </c>
      <c r="D6" s="43">
        <v>0.15</v>
      </c>
    </row>
    <row r="7" spans="2:8" x14ac:dyDescent="0.25">
      <c r="B7" t="s">
        <v>17</v>
      </c>
      <c r="D7" s="43">
        <v>0.28999999999999998</v>
      </c>
    </row>
    <row r="8" spans="2:8" ht="24.95" customHeight="1" x14ac:dyDescent="0.25">
      <c r="B8" s="40" t="s">
        <v>18</v>
      </c>
      <c r="C8" s="39"/>
      <c r="D8" s="39"/>
    </row>
    <row r="9" spans="2:8" x14ac:dyDescent="0.25">
      <c r="B9" t="s">
        <v>21</v>
      </c>
      <c r="D9" s="42">
        <v>3.5000000000000003E-2</v>
      </c>
    </row>
    <row r="10" spans="2:8" x14ac:dyDescent="0.25">
      <c r="B10" t="s">
        <v>70</v>
      </c>
      <c r="D10" s="42">
        <v>0.2</v>
      </c>
    </row>
    <row r="11" spans="2:8" ht="24.95" customHeight="1" x14ac:dyDescent="0.25">
      <c r="B11" s="40" t="s">
        <v>60</v>
      </c>
      <c r="C11" s="39"/>
      <c r="D11" s="39"/>
    </row>
    <row r="12" spans="2:8" x14ac:dyDescent="0.25">
      <c r="B12" t="s">
        <v>63</v>
      </c>
      <c r="D12" s="41">
        <v>30</v>
      </c>
    </row>
    <row r="13" spans="2:8" x14ac:dyDescent="0.25">
      <c r="B13" t="s">
        <v>62</v>
      </c>
      <c r="D13" s="41">
        <v>90</v>
      </c>
    </row>
    <row r="14" spans="2:8" x14ac:dyDescent="0.25">
      <c r="B14" t="s">
        <v>61</v>
      </c>
      <c r="D14" s="41">
        <v>60</v>
      </c>
    </row>
    <row r="15" spans="2:8" ht="17.25" x14ac:dyDescent="0.25">
      <c r="B15" s="40" t="s">
        <v>76</v>
      </c>
      <c r="C15" s="39"/>
      <c r="D15" s="39"/>
    </row>
    <row r="16" spans="2:8" x14ac:dyDescent="0.25">
      <c r="B16" t="s">
        <v>77</v>
      </c>
      <c r="D16" s="43">
        <v>0.2</v>
      </c>
    </row>
    <row r="17" spans="2:4" x14ac:dyDescent="0.25">
      <c r="B17" t="s">
        <v>8</v>
      </c>
      <c r="D17" s="53">
        <v>0.04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127"/>
  <sheetViews>
    <sheetView tabSelected="1" topLeftCell="A109" zoomScaleNormal="100" workbookViewId="0">
      <selection activeCell="K127" sqref="K127"/>
    </sheetView>
  </sheetViews>
  <sheetFormatPr defaultRowHeight="15" x14ac:dyDescent="0.25"/>
  <cols>
    <col min="2" max="2" width="19.28515625" bestFit="1" customWidth="1"/>
    <col min="7" max="7" width="10" customWidth="1"/>
  </cols>
  <sheetData>
    <row r="2" spans="2:12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23" t="s">
        <v>20</v>
      </c>
      <c r="C3" s="4"/>
      <c r="D3" s="4"/>
      <c r="E3" s="5">
        <v>2013</v>
      </c>
      <c r="F3" s="5">
        <v>2014</v>
      </c>
      <c r="G3" s="6">
        <f t="shared" ref="G3:K3" si="0">+F3+1</f>
        <v>2015</v>
      </c>
      <c r="H3" s="6">
        <f t="shared" si="0"/>
        <v>2016</v>
      </c>
      <c r="I3" s="6">
        <f t="shared" si="0"/>
        <v>2017</v>
      </c>
      <c r="J3" s="6">
        <f t="shared" si="0"/>
        <v>2018</v>
      </c>
      <c r="K3" s="6">
        <f t="shared" si="0"/>
        <v>2019</v>
      </c>
      <c r="L3" s="6" t="s">
        <v>10</v>
      </c>
    </row>
    <row r="4" spans="2:12" x14ac:dyDescent="0.25">
      <c r="B4" s="3" t="str">
        <f>+'Raw data'!C4</f>
        <v>Sales</v>
      </c>
      <c r="C4" s="16">
        <f>+Assumptions!D3</f>
        <v>0.15</v>
      </c>
      <c r="D4" s="3"/>
      <c r="E4" s="10">
        <f>+'Raw data'!E4</f>
        <v>100</v>
      </c>
      <c r="F4" s="10">
        <f>+'Raw data'!F4</f>
        <v>120</v>
      </c>
      <c r="G4" s="10">
        <f>+F4*(1+$C$4)</f>
        <v>138</v>
      </c>
      <c r="H4" s="10">
        <f>+G4*(1+$C$4)</f>
        <v>158.69999999999999</v>
      </c>
      <c r="I4" s="10">
        <f>+H4*(1+$C$4)</f>
        <v>182.50499999999997</v>
      </c>
      <c r="J4" s="10">
        <f>+I4*(1+$C$4)</f>
        <v>209.88074999999995</v>
      </c>
      <c r="K4" s="10">
        <f>+J4*(1+$C$4)</f>
        <v>241.36286249999992</v>
      </c>
      <c r="L4" s="36">
        <f>+(K4/F4)^(1/5)-1</f>
        <v>0.14999999999999991</v>
      </c>
    </row>
    <row r="5" spans="2:12" x14ac:dyDescent="0.25">
      <c r="B5" t="str">
        <f>+'Raw data'!C5</f>
        <v>COGS</v>
      </c>
      <c r="E5" s="9">
        <f>+'Raw data'!E5</f>
        <v>-50</v>
      </c>
      <c r="F5" s="9">
        <f>+'Raw data'!F5</f>
        <v>-65</v>
      </c>
      <c r="G5" s="9">
        <f t="shared" ref="G5:K5" si="1">+G6-G4</f>
        <v>-71.760000000000005</v>
      </c>
      <c r="H5" s="9">
        <f t="shared" si="1"/>
        <v>-82.524000000000001</v>
      </c>
      <c r="I5" s="9">
        <f t="shared" si="1"/>
        <v>-94.902599999999993</v>
      </c>
      <c r="J5" s="9">
        <f t="shared" si="1"/>
        <v>-109.13798999999997</v>
      </c>
      <c r="K5" s="9">
        <f t="shared" si="1"/>
        <v>-125.50868849999996</v>
      </c>
      <c r="L5" s="36">
        <f t="shared" ref="L5:L10" si="2">+(K5/F5)^(1/5)-1</f>
        <v>0.14064916517495107</v>
      </c>
    </row>
    <row r="6" spans="2:12" x14ac:dyDescent="0.25">
      <c r="B6" s="3" t="s">
        <v>13</v>
      </c>
      <c r="E6" s="10">
        <f>+'Raw data'!E6</f>
        <v>50</v>
      </c>
      <c r="F6" s="10">
        <f>+'Raw data'!F6</f>
        <v>55</v>
      </c>
      <c r="G6" s="10">
        <f t="shared" ref="G6:K6" si="3">+G7*G4</f>
        <v>66.239999999999995</v>
      </c>
      <c r="H6" s="10">
        <f t="shared" si="3"/>
        <v>76.175999999999988</v>
      </c>
      <c r="I6" s="10">
        <f t="shared" si="3"/>
        <v>87.602399999999975</v>
      </c>
      <c r="J6" s="10">
        <f t="shared" si="3"/>
        <v>100.74275999999998</v>
      </c>
      <c r="K6" s="10">
        <f t="shared" si="3"/>
        <v>115.85417399999996</v>
      </c>
      <c r="L6" s="36">
        <f t="shared" si="2"/>
        <v>0.16067277897528442</v>
      </c>
    </row>
    <row r="7" spans="2:12" x14ac:dyDescent="0.25">
      <c r="B7" s="17" t="s">
        <v>3</v>
      </c>
      <c r="C7" s="19">
        <f>+Assumptions!D4</f>
        <v>0.48</v>
      </c>
      <c r="E7" s="18">
        <f t="shared" ref="E7:F7" si="4">+E6/E4</f>
        <v>0.5</v>
      </c>
      <c r="F7" s="18">
        <f t="shared" si="4"/>
        <v>0.45833333333333331</v>
      </c>
      <c r="G7" s="18">
        <f t="shared" ref="G7:K7" si="5">+$C$7</f>
        <v>0.48</v>
      </c>
      <c r="H7" s="18">
        <f t="shared" si="5"/>
        <v>0.48</v>
      </c>
      <c r="I7" s="18">
        <f t="shared" si="5"/>
        <v>0.48</v>
      </c>
      <c r="J7" s="18">
        <f t="shared" si="5"/>
        <v>0.48</v>
      </c>
      <c r="K7" s="18">
        <f t="shared" si="5"/>
        <v>0.48</v>
      </c>
      <c r="L7" s="36"/>
    </row>
    <row r="8" spans="2:12" x14ac:dyDescent="0.25">
      <c r="B8" t="str">
        <f>+'Raw data'!C7</f>
        <v>S&amp;M</v>
      </c>
      <c r="C8" s="16">
        <f>+Assumptions!D5</f>
        <v>0.2</v>
      </c>
      <c r="E8" s="9">
        <f>+'Raw data'!E7</f>
        <v>-20</v>
      </c>
      <c r="F8" s="9">
        <f>+'Raw data'!F7</f>
        <v>-22</v>
      </c>
      <c r="G8" s="9">
        <f t="shared" ref="G8:K9" si="6">-$C8*G$4</f>
        <v>-27.6</v>
      </c>
      <c r="H8" s="9">
        <f t="shared" si="6"/>
        <v>-31.74</v>
      </c>
      <c r="I8" s="9">
        <f t="shared" si="6"/>
        <v>-36.500999999999998</v>
      </c>
      <c r="J8" s="9">
        <f t="shared" si="6"/>
        <v>-41.97614999999999</v>
      </c>
      <c r="K8" s="9">
        <f t="shared" si="6"/>
        <v>-48.272572499999988</v>
      </c>
      <c r="L8" s="36">
        <f t="shared" si="2"/>
        <v>0.17018776375192557</v>
      </c>
    </row>
    <row r="9" spans="2:12" x14ac:dyDescent="0.25">
      <c r="B9" s="11" t="str">
        <f>+'Raw data'!C8</f>
        <v>Opex</v>
      </c>
      <c r="C9" s="16">
        <f>+Assumptions!D6</f>
        <v>0.15</v>
      </c>
      <c r="D9" s="11"/>
      <c r="E9" s="12">
        <f>+'Raw data'!E8</f>
        <v>-20</v>
      </c>
      <c r="F9" s="12">
        <f>+'Raw data'!F8</f>
        <v>-21</v>
      </c>
      <c r="G9" s="12">
        <f>-$C9*G$4</f>
        <v>-20.7</v>
      </c>
      <c r="H9" s="12">
        <f>-$C9*H$4</f>
        <v>-23.804999999999996</v>
      </c>
      <c r="I9" s="12">
        <f t="shared" si="6"/>
        <v>-27.375749999999993</v>
      </c>
      <c r="J9" s="12">
        <f t="shared" si="6"/>
        <v>-31.482112499999992</v>
      </c>
      <c r="K9" s="12">
        <f t="shared" si="6"/>
        <v>-36.204429374999989</v>
      </c>
      <c r="L9" s="36">
        <f t="shared" si="2"/>
        <v>0.11508630600991587</v>
      </c>
    </row>
    <row r="10" spans="2:12" x14ac:dyDescent="0.25">
      <c r="B10" s="13" t="str">
        <f>+'Raw data'!C9</f>
        <v>EBITDA</v>
      </c>
      <c r="C10" s="13"/>
      <c r="D10" s="13"/>
      <c r="E10" s="14">
        <f>+'Raw data'!E9</f>
        <v>10</v>
      </c>
      <c r="F10" s="14">
        <f>+'Raw data'!F9</f>
        <v>12</v>
      </c>
      <c r="G10" s="14">
        <f>+G6+G8+G9</f>
        <v>17.939999999999994</v>
      </c>
      <c r="H10" s="14">
        <f>+H6+H8+H9</f>
        <v>20.630999999999997</v>
      </c>
      <c r="I10" s="14">
        <f t="shared" ref="I10:K10" si="7">+I6+I8+I9</f>
        <v>23.725649999999984</v>
      </c>
      <c r="J10" s="14">
        <f t="shared" si="7"/>
        <v>27.284497499999993</v>
      </c>
      <c r="K10" s="14">
        <f t="shared" si="7"/>
        <v>31.377172124999987</v>
      </c>
      <c r="L10" s="36">
        <f t="shared" si="2"/>
        <v>0.21195504487105077</v>
      </c>
    </row>
    <row r="11" spans="2:12" x14ac:dyDescent="0.25">
      <c r="B11" t="s">
        <v>7</v>
      </c>
      <c r="G11" s="38">
        <f>+G97</f>
        <v>-5</v>
      </c>
      <c r="H11" s="38">
        <f t="shared" ref="H11:K11" si="8">+H97</f>
        <v>-4.9660000000000002</v>
      </c>
      <c r="I11" s="38">
        <f t="shared" si="8"/>
        <v>-5.0837000000000003</v>
      </c>
      <c r="J11" s="38">
        <f t="shared" si="8"/>
        <v>-5.3444949999999993</v>
      </c>
      <c r="K11" s="38">
        <f t="shared" si="8"/>
        <v>-5.7447612499999998</v>
      </c>
    </row>
    <row r="12" spans="2:12" x14ac:dyDescent="0.25">
      <c r="B12" s="11" t="s">
        <v>8</v>
      </c>
      <c r="C12" s="11"/>
      <c r="D12" s="11"/>
      <c r="E12" s="11"/>
      <c r="F12" s="11"/>
      <c r="G12" s="51">
        <f>+G107</f>
        <v>-1</v>
      </c>
      <c r="H12" s="51">
        <f t="shared" ref="H12:K12" si="9">+H107</f>
        <v>-0.8</v>
      </c>
      <c r="I12" s="51">
        <f t="shared" si="9"/>
        <v>-0.6</v>
      </c>
      <c r="J12" s="51">
        <f t="shared" si="9"/>
        <v>-0.4</v>
      </c>
      <c r="K12" s="51">
        <f t="shared" si="9"/>
        <v>-0.2</v>
      </c>
    </row>
    <row r="13" spans="2:12" x14ac:dyDescent="0.25">
      <c r="B13" t="s">
        <v>15</v>
      </c>
      <c r="E13" s="9">
        <f>+E10+E11+E12</f>
        <v>10</v>
      </c>
      <c r="F13" s="9">
        <f t="shared" ref="F13:K13" si="10">+F10+F11+F12</f>
        <v>12</v>
      </c>
      <c r="G13" s="9">
        <f t="shared" si="10"/>
        <v>11.939999999999994</v>
      </c>
      <c r="H13" s="9">
        <f t="shared" si="10"/>
        <v>14.864999999999995</v>
      </c>
      <c r="I13" s="9">
        <f t="shared" si="10"/>
        <v>18.041949999999982</v>
      </c>
      <c r="J13" s="9">
        <f t="shared" si="10"/>
        <v>21.540002499999996</v>
      </c>
      <c r="K13" s="9">
        <f t="shared" si="10"/>
        <v>25.432410874999988</v>
      </c>
      <c r="L13" s="36">
        <f t="shared" ref="L13" si="11">+(K13/F13)^(1/5)-1</f>
        <v>0.16209399504594635</v>
      </c>
    </row>
    <row r="14" spans="2:12" ht="15.75" thickBot="1" x14ac:dyDescent="0.3">
      <c r="B14" s="20" t="s">
        <v>9</v>
      </c>
      <c r="C14" s="21">
        <f>+Assumptions!D7</f>
        <v>0.28999999999999998</v>
      </c>
      <c r="D14" s="20"/>
      <c r="E14" s="22">
        <f>-$C$14*E13</f>
        <v>-2.9</v>
      </c>
      <c r="F14" s="22">
        <f t="shared" ref="F14:K14" si="12">-$C$14*F13</f>
        <v>-3.4799999999999995</v>
      </c>
      <c r="G14" s="22">
        <f t="shared" si="12"/>
        <v>-3.4625999999999979</v>
      </c>
      <c r="H14" s="22">
        <f t="shared" si="12"/>
        <v>-4.3108499999999985</v>
      </c>
      <c r="I14" s="22">
        <f t="shared" si="12"/>
        <v>-5.2321654999999945</v>
      </c>
      <c r="J14" s="22">
        <f t="shared" si="12"/>
        <v>-6.2466007249999986</v>
      </c>
      <c r="K14" s="22">
        <f t="shared" si="12"/>
        <v>-7.3753991537499957</v>
      </c>
    </row>
    <row r="15" spans="2:12" ht="15.75" thickTop="1" x14ac:dyDescent="0.25">
      <c r="B15" s="3" t="s">
        <v>16</v>
      </c>
      <c r="C15" s="3"/>
      <c r="D15" s="3"/>
      <c r="E15" s="10">
        <f>+E13+E14</f>
        <v>7.1</v>
      </c>
      <c r="F15" s="10">
        <f t="shared" ref="F15:K15" si="13">+F13+F14</f>
        <v>8.52</v>
      </c>
      <c r="G15" s="10">
        <f t="shared" si="13"/>
        <v>8.4773999999999958</v>
      </c>
      <c r="H15" s="10">
        <f t="shared" si="13"/>
        <v>10.554149999999996</v>
      </c>
      <c r="I15" s="10">
        <f t="shared" si="13"/>
        <v>12.809784499999989</v>
      </c>
      <c r="J15" s="10">
        <f t="shared" si="13"/>
        <v>15.293401774999998</v>
      </c>
      <c r="K15" s="10">
        <f t="shared" si="13"/>
        <v>18.057011721249992</v>
      </c>
      <c r="L15" s="36">
        <f t="shared" ref="L15" si="14">+(K15/F15)^(1/5)-1</f>
        <v>0.16209399504594635</v>
      </c>
    </row>
    <row r="18" spans="2:12" x14ac:dyDescent="0.25">
      <c r="B18" s="2" t="s">
        <v>18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4" t="str">
        <f>+B3</f>
        <v>C$ - MM</v>
      </c>
      <c r="C19" s="4"/>
      <c r="D19" s="4"/>
      <c r="E19" s="5">
        <v>2013</v>
      </c>
      <c r="F19" s="5">
        <v>2014</v>
      </c>
      <c r="G19" s="6">
        <f t="shared" ref="G19:K19" si="15">+F19+1</f>
        <v>2015</v>
      </c>
      <c r="H19" s="6">
        <f t="shared" si="15"/>
        <v>2016</v>
      </c>
      <c r="I19" s="6">
        <f t="shared" si="15"/>
        <v>2017</v>
      </c>
      <c r="J19" s="6">
        <f t="shared" si="15"/>
        <v>2018</v>
      </c>
      <c r="K19" s="6">
        <f t="shared" si="15"/>
        <v>2019</v>
      </c>
      <c r="L19" s="6" t="s">
        <v>10</v>
      </c>
    </row>
    <row r="20" spans="2:12" x14ac:dyDescent="0.25">
      <c r="B20" t="s">
        <v>19</v>
      </c>
      <c r="E20" s="9">
        <v>-3</v>
      </c>
      <c r="F20" s="9">
        <v>-4</v>
      </c>
      <c r="G20" s="9">
        <f>-G21*G4</f>
        <v>-4.83</v>
      </c>
      <c r="H20" s="9">
        <f t="shared" ref="H20:K20" si="16">-H21*H4</f>
        <v>-5.5545</v>
      </c>
      <c r="I20" s="9">
        <f t="shared" si="16"/>
        <v>-6.3876749999999998</v>
      </c>
      <c r="J20" s="9">
        <f t="shared" si="16"/>
        <v>-7.3458262499999991</v>
      </c>
      <c r="K20" s="9">
        <f t="shared" si="16"/>
        <v>-8.4477001874999988</v>
      </c>
      <c r="L20" s="36">
        <f t="shared" ref="L20" si="17">+(K20/F20)^(1/5)-1</f>
        <v>0.16127666732450807</v>
      </c>
    </row>
    <row r="21" spans="2:12" x14ac:dyDescent="0.25">
      <c r="B21" t="s">
        <v>22</v>
      </c>
      <c r="C21" s="24">
        <f>+Assumptions!D9</f>
        <v>3.5000000000000003E-2</v>
      </c>
      <c r="E21" s="18">
        <f t="shared" ref="E21:F21" si="18">-E20/E4</f>
        <v>0.03</v>
      </c>
      <c r="F21" s="18">
        <f t="shared" si="18"/>
        <v>3.3333333333333333E-2</v>
      </c>
      <c r="G21" s="18">
        <f>+$C$21</f>
        <v>3.5000000000000003E-2</v>
      </c>
      <c r="H21" s="18">
        <f t="shared" ref="H21:K21" si="19">+$C$21</f>
        <v>3.5000000000000003E-2</v>
      </c>
      <c r="I21" s="18">
        <f t="shared" si="19"/>
        <v>3.5000000000000003E-2</v>
      </c>
      <c r="J21" s="18">
        <f t="shared" si="19"/>
        <v>3.5000000000000003E-2</v>
      </c>
      <c r="K21" s="18">
        <f t="shared" si="19"/>
        <v>3.5000000000000003E-2</v>
      </c>
    </row>
    <row r="24" spans="2:12" x14ac:dyDescent="0.25">
      <c r="B24" s="2" t="s">
        <v>23</v>
      </c>
      <c r="C24" s="2"/>
      <c r="D24" s="2"/>
      <c r="E24" s="2"/>
      <c r="F24" s="2"/>
      <c r="G24" s="2"/>
      <c r="H24" s="2"/>
      <c r="I24" s="2"/>
      <c r="J24" s="2"/>
      <c r="K24" s="2"/>
    </row>
    <row r="25" spans="2:12" x14ac:dyDescent="0.25">
      <c r="B25" s="4" t="str">
        <f>+B19</f>
        <v>C$ - MM</v>
      </c>
      <c r="C25" s="4"/>
      <c r="D25" s="4"/>
      <c r="E25" s="5">
        <v>2013</v>
      </c>
      <c r="F25" s="5">
        <v>2014</v>
      </c>
      <c r="G25" s="6">
        <f t="shared" ref="G25:K25" si="20">+F25+1</f>
        <v>2015</v>
      </c>
      <c r="H25" s="6">
        <f t="shared" si="20"/>
        <v>2016</v>
      </c>
      <c r="I25" s="6">
        <f t="shared" si="20"/>
        <v>2017</v>
      </c>
      <c r="J25" s="6">
        <f t="shared" si="20"/>
        <v>2018</v>
      </c>
      <c r="K25" s="6">
        <f t="shared" si="20"/>
        <v>2019</v>
      </c>
    </row>
    <row r="26" spans="2:12" x14ac:dyDescent="0.25">
      <c r="B26" s="25" t="s">
        <v>32</v>
      </c>
      <c r="C26" s="25"/>
      <c r="D26" s="25"/>
      <c r="E26" s="26"/>
      <c r="F26" s="26"/>
      <c r="G26" s="27"/>
      <c r="H26" s="27"/>
      <c r="I26" s="27"/>
      <c r="J26" s="27"/>
      <c r="K26" s="27"/>
    </row>
    <row r="27" spans="2:12" x14ac:dyDescent="0.25">
      <c r="B27" t="s">
        <v>24</v>
      </c>
      <c r="E27" s="9"/>
      <c r="F27" s="8">
        <v>20</v>
      </c>
      <c r="G27" s="7">
        <f>+G67</f>
        <v>20.073701369863016</v>
      </c>
      <c r="H27" s="7">
        <f t="shared" ref="H27:K27" si="21">+H67</f>
        <v>20.003296575342461</v>
      </c>
      <c r="I27" s="7">
        <f t="shared" si="21"/>
        <v>20.717643061643841</v>
      </c>
      <c r="J27" s="7">
        <f t="shared" si="21"/>
        <v>22.349531120890404</v>
      </c>
      <c r="K27" s="7">
        <f t="shared" si="21"/>
        <v>25.044394069023973</v>
      </c>
    </row>
    <row r="28" spans="2:12" x14ac:dyDescent="0.25">
      <c r="B28" t="s">
        <v>25</v>
      </c>
      <c r="C28" s="24"/>
      <c r="E28" s="18"/>
      <c r="F28" s="8">
        <v>10</v>
      </c>
      <c r="G28" s="48">
        <f>+G78</f>
        <v>11.342465753424657</v>
      </c>
      <c r="H28" s="48">
        <f t="shared" ref="H28:K28" si="22">+H78</f>
        <v>13.043835616438356</v>
      </c>
      <c r="I28" s="48">
        <f t="shared" si="22"/>
        <v>15.000410958904107</v>
      </c>
      <c r="J28" s="48">
        <f t="shared" si="22"/>
        <v>17.250472602739723</v>
      </c>
      <c r="K28" s="48">
        <f t="shared" si="22"/>
        <v>19.838043493150678</v>
      </c>
    </row>
    <row r="29" spans="2:12" x14ac:dyDescent="0.25">
      <c r="B29" t="s">
        <v>26</v>
      </c>
      <c r="F29" s="8">
        <v>30</v>
      </c>
      <c r="G29" s="7">
        <f>+G81</f>
        <v>34.027397260273972</v>
      </c>
      <c r="H29" s="7">
        <f t="shared" ref="H29:K29" si="23">+H81</f>
        <v>39.131506849315066</v>
      </c>
      <c r="I29" s="7">
        <f t="shared" si="23"/>
        <v>45.001232876712322</v>
      </c>
      <c r="J29" s="7">
        <f t="shared" si="23"/>
        <v>51.751417808219166</v>
      </c>
      <c r="K29" s="7">
        <f t="shared" si="23"/>
        <v>59.514130479452035</v>
      </c>
    </row>
    <row r="30" spans="2:12" x14ac:dyDescent="0.25">
      <c r="B30" s="11" t="s">
        <v>27</v>
      </c>
      <c r="C30" s="11"/>
      <c r="D30" s="11"/>
      <c r="E30" s="11"/>
      <c r="F30" s="29">
        <v>5</v>
      </c>
      <c r="G30" s="29">
        <f>+G84</f>
        <v>5</v>
      </c>
      <c r="H30" s="29">
        <f t="shared" ref="H30:K30" si="24">+H84</f>
        <v>5</v>
      </c>
      <c r="I30" s="29">
        <f t="shared" si="24"/>
        <v>5</v>
      </c>
      <c r="J30" s="29">
        <f t="shared" si="24"/>
        <v>5</v>
      </c>
      <c r="K30" s="29">
        <f t="shared" si="24"/>
        <v>5</v>
      </c>
    </row>
    <row r="31" spans="2:12" x14ac:dyDescent="0.25">
      <c r="B31" s="3" t="s">
        <v>28</v>
      </c>
      <c r="C31" s="3"/>
      <c r="D31" s="3"/>
      <c r="E31" s="3"/>
      <c r="F31" s="30">
        <f>SUM(F27:F30)</f>
        <v>65</v>
      </c>
      <c r="G31" s="52">
        <f t="shared" ref="G31:K31" si="25">SUM(G27:G30)</f>
        <v>70.443564383561636</v>
      </c>
      <c r="H31" s="52">
        <f t="shared" si="25"/>
        <v>77.178639041095892</v>
      </c>
      <c r="I31" s="52">
        <f t="shared" si="25"/>
        <v>85.719286897260275</v>
      </c>
      <c r="J31" s="52">
        <f t="shared" si="25"/>
        <v>96.351421531849297</v>
      </c>
      <c r="K31" s="52">
        <f t="shared" si="25"/>
        <v>109.39656804162669</v>
      </c>
    </row>
    <row r="32" spans="2:12" x14ac:dyDescent="0.25">
      <c r="B32" t="s">
        <v>29</v>
      </c>
      <c r="F32" s="8">
        <v>25</v>
      </c>
      <c r="G32" s="7">
        <f>+G98</f>
        <v>24.83</v>
      </c>
      <c r="H32" s="7">
        <f t="shared" ref="H32:K32" si="26">+H98</f>
        <v>25.418499999999998</v>
      </c>
      <c r="I32" s="7">
        <f t="shared" si="26"/>
        <v>26.722474999999996</v>
      </c>
      <c r="J32" s="7">
        <f t="shared" si="26"/>
        <v>28.723806249999999</v>
      </c>
      <c r="K32" s="7">
        <f t="shared" si="26"/>
        <v>31.4267451875</v>
      </c>
    </row>
    <row r="33" spans="2:11" ht="15.75" thickBot="1" x14ac:dyDescent="0.3">
      <c r="B33" s="20" t="s">
        <v>30</v>
      </c>
      <c r="C33" s="20"/>
      <c r="D33" s="20"/>
      <c r="E33" s="20"/>
      <c r="F33" s="22">
        <v>0</v>
      </c>
      <c r="G33" s="22">
        <f>+F33</f>
        <v>0</v>
      </c>
      <c r="H33" s="22">
        <f t="shared" ref="H33:K33" si="27">+G33</f>
        <v>0</v>
      </c>
      <c r="I33" s="22">
        <f t="shared" si="27"/>
        <v>0</v>
      </c>
      <c r="J33" s="22">
        <f t="shared" si="27"/>
        <v>0</v>
      </c>
      <c r="K33" s="22">
        <f t="shared" si="27"/>
        <v>0</v>
      </c>
    </row>
    <row r="34" spans="2:11" ht="15.75" thickTop="1" x14ac:dyDescent="0.25">
      <c r="B34" s="3" t="s">
        <v>31</v>
      </c>
      <c r="C34" s="3"/>
      <c r="D34" s="3"/>
      <c r="E34" s="3"/>
      <c r="F34" s="15">
        <f>+F31+F32+F33</f>
        <v>90</v>
      </c>
      <c r="G34" s="15">
        <f t="shared" ref="G34:K34" si="28">+G31+G32+G33</f>
        <v>95.273564383561634</v>
      </c>
      <c r="H34" s="15">
        <f t="shared" si="28"/>
        <v>102.59713904109589</v>
      </c>
      <c r="I34" s="15">
        <f t="shared" si="28"/>
        <v>112.44176189726028</v>
      </c>
      <c r="J34" s="15">
        <f t="shared" si="28"/>
        <v>125.07522778184929</v>
      </c>
      <c r="K34" s="15">
        <f t="shared" si="28"/>
        <v>140.82331322912668</v>
      </c>
    </row>
    <row r="35" spans="2:11" x14ac:dyDescent="0.25">
      <c r="F35" s="7"/>
      <c r="G35" s="7"/>
      <c r="H35" s="7"/>
      <c r="I35" s="7"/>
      <c r="J35" s="7"/>
      <c r="K35" s="7"/>
    </row>
    <row r="36" spans="2:11" x14ac:dyDescent="0.25">
      <c r="B36" s="25" t="s">
        <v>33</v>
      </c>
      <c r="F36" s="7"/>
      <c r="G36" s="7"/>
      <c r="H36" s="7"/>
      <c r="I36" s="7"/>
      <c r="J36" s="7"/>
      <c r="K36" s="7"/>
    </row>
    <row r="37" spans="2:11" x14ac:dyDescent="0.25">
      <c r="B37" t="s">
        <v>34</v>
      </c>
      <c r="F37" s="8">
        <v>0</v>
      </c>
      <c r="G37" s="7"/>
      <c r="H37" s="7"/>
      <c r="I37" s="7"/>
      <c r="J37" s="7"/>
      <c r="K37" s="7"/>
    </row>
    <row r="38" spans="2:11" x14ac:dyDescent="0.25">
      <c r="B38" t="s">
        <v>35</v>
      </c>
      <c r="F38" s="8">
        <v>5</v>
      </c>
      <c r="G38" s="7">
        <f>+G109</f>
        <v>5</v>
      </c>
      <c r="H38" s="7">
        <f t="shared" ref="H38:K38" si="29">+H109</f>
        <v>5</v>
      </c>
      <c r="I38" s="7">
        <f t="shared" si="29"/>
        <v>5</v>
      </c>
      <c r="J38" s="7">
        <f t="shared" si="29"/>
        <v>5</v>
      </c>
      <c r="K38" s="7">
        <f t="shared" si="29"/>
        <v>0</v>
      </c>
    </row>
    <row r="39" spans="2:11" x14ac:dyDescent="0.25">
      <c r="B39" t="s">
        <v>36</v>
      </c>
      <c r="F39" s="8">
        <v>10</v>
      </c>
      <c r="G39" s="7">
        <f>+G86</f>
        <v>11.796164383561646</v>
      </c>
      <c r="H39" s="7">
        <f t="shared" ref="H39:K39" si="30">+H86</f>
        <v>13.565589041095892</v>
      </c>
      <c r="I39" s="7">
        <f t="shared" si="30"/>
        <v>15.600427397260274</v>
      </c>
      <c r="J39" s="7">
        <f t="shared" si="30"/>
        <v>17.940491506849312</v>
      </c>
      <c r="K39" s="7">
        <f t="shared" si="30"/>
        <v>20.631565232876707</v>
      </c>
    </row>
    <row r="40" spans="2:11" x14ac:dyDescent="0.25">
      <c r="B40" s="13" t="s">
        <v>37</v>
      </c>
      <c r="C40" s="13"/>
      <c r="D40" s="13"/>
      <c r="E40" s="13"/>
      <c r="F40" s="31">
        <f>SUM(F37:F39)</f>
        <v>15</v>
      </c>
      <c r="G40" s="31">
        <f t="shared" ref="G40:K40" si="31">SUM(G37:G39)</f>
        <v>16.796164383561646</v>
      </c>
      <c r="H40" s="31">
        <f t="shared" si="31"/>
        <v>18.56558904109589</v>
      </c>
      <c r="I40" s="31">
        <f t="shared" si="31"/>
        <v>20.600427397260276</v>
      </c>
      <c r="J40" s="31">
        <f t="shared" si="31"/>
        <v>22.940491506849312</v>
      </c>
      <c r="K40" s="31">
        <f t="shared" si="31"/>
        <v>20.631565232876707</v>
      </c>
    </row>
    <row r="41" spans="2:11" x14ac:dyDescent="0.25">
      <c r="B41" t="s">
        <v>38</v>
      </c>
      <c r="F41" s="8">
        <v>20</v>
      </c>
      <c r="G41" s="7">
        <f>+G110</f>
        <v>15</v>
      </c>
      <c r="H41" s="7">
        <f t="shared" ref="H41:K41" si="32">+H110</f>
        <v>10</v>
      </c>
      <c r="I41" s="7">
        <f t="shared" si="32"/>
        <v>5</v>
      </c>
      <c r="J41" s="7">
        <f t="shared" si="32"/>
        <v>0</v>
      </c>
      <c r="K41" s="7">
        <f t="shared" si="32"/>
        <v>0</v>
      </c>
    </row>
    <row r="42" spans="2:11" ht="15.75" thickBot="1" x14ac:dyDescent="0.3">
      <c r="B42" t="s">
        <v>39</v>
      </c>
      <c r="F42" s="8">
        <v>55</v>
      </c>
      <c r="G42" s="7">
        <f>+F42+G15+G59+G60</f>
        <v>63.477399999999996</v>
      </c>
      <c r="H42" s="7">
        <f t="shared" ref="H42:K42" si="33">+G42+H15+H59+H60</f>
        <v>74.031549999999996</v>
      </c>
      <c r="I42" s="7">
        <f t="shared" si="33"/>
        <v>86.841334499999988</v>
      </c>
      <c r="J42" s="7">
        <f t="shared" si="33"/>
        <v>102.13473627499998</v>
      </c>
      <c r="K42" s="7">
        <f t="shared" si="33"/>
        <v>120.19174799624997</v>
      </c>
    </row>
    <row r="43" spans="2:11" ht="15.75" thickTop="1" x14ac:dyDescent="0.25">
      <c r="B43" s="28" t="s">
        <v>40</v>
      </c>
      <c r="C43" s="28"/>
      <c r="D43" s="28"/>
      <c r="E43" s="28"/>
      <c r="F43" s="32">
        <f>+F40+F41+F42</f>
        <v>90</v>
      </c>
      <c r="G43" s="32">
        <f t="shared" ref="G43:K43" si="34">+G40+G41+G42</f>
        <v>95.273564383561649</v>
      </c>
      <c r="H43" s="32">
        <f t="shared" si="34"/>
        <v>102.59713904109589</v>
      </c>
      <c r="I43" s="32">
        <f t="shared" si="34"/>
        <v>112.44176189726026</v>
      </c>
      <c r="J43" s="32">
        <f t="shared" si="34"/>
        <v>125.07522778184929</v>
      </c>
      <c r="K43" s="32">
        <f t="shared" si="34"/>
        <v>140.82331322912668</v>
      </c>
    </row>
    <row r="44" spans="2:11" x14ac:dyDescent="0.25">
      <c r="B44" s="17" t="s">
        <v>41</v>
      </c>
      <c r="F44" s="33">
        <f>+F43-F34</f>
        <v>0</v>
      </c>
      <c r="G44" s="33">
        <f t="shared" ref="G44:K44" si="35">+G43-G34</f>
        <v>0</v>
      </c>
      <c r="H44" s="33">
        <f t="shared" si="35"/>
        <v>0</v>
      </c>
      <c r="I44" s="33">
        <f t="shared" si="35"/>
        <v>0</v>
      </c>
      <c r="J44" s="33">
        <f t="shared" si="35"/>
        <v>0</v>
      </c>
      <c r="K44" s="33">
        <f t="shared" si="35"/>
        <v>0</v>
      </c>
    </row>
    <row r="46" spans="2:11" x14ac:dyDescent="0.25"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4" t="str">
        <f>+B25</f>
        <v>C$ - MM</v>
      </c>
      <c r="C47" s="4"/>
      <c r="D47" s="4"/>
      <c r="E47" s="5">
        <v>2013</v>
      </c>
      <c r="F47" s="5">
        <v>2014</v>
      </c>
      <c r="G47" s="6">
        <f t="shared" ref="G47:K47" si="36">+F47+1</f>
        <v>2015</v>
      </c>
      <c r="H47" s="6">
        <f t="shared" si="36"/>
        <v>2016</v>
      </c>
      <c r="I47" s="6">
        <f t="shared" si="36"/>
        <v>2017</v>
      </c>
      <c r="J47" s="6">
        <f t="shared" si="36"/>
        <v>2018</v>
      </c>
      <c r="K47" s="6">
        <f t="shared" si="36"/>
        <v>2019</v>
      </c>
    </row>
    <row r="48" spans="2:11" x14ac:dyDescent="0.25">
      <c r="B48" t="s">
        <v>43</v>
      </c>
      <c r="G48" s="9">
        <f>+G15</f>
        <v>8.4773999999999958</v>
      </c>
      <c r="H48" s="9">
        <f t="shared" ref="H48:K48" si="37">+H15</f>
        <v>10.554149999999996</v>
      </c>
      <c r="I48" s="9">
        <f t="shared" si="37"/>
        <v>12.809784499999989</v>
      </c>
      <c r="J48" s="9">
        <f t="shared" si="37"/>
        <v>15.293401774999998</v>
      </c>
      <c r="K48" s="9">
        <f t="shared" si="37"/>
        <v>18.057011721249992</v>
      </c>
    </row>
    <row r="49" spans="2:11" x14ac:dyDescent="0.25">
      <c r="B49" t="s">
        <v>7</v>
      </c>
      <c r="G49" s="38">
        <f t="shared" ref="G49:K49" si="38">-G11</f>
        <v>5</v>
      </c>
      <c r="H49" s="38">
        <f t="shared" si="38"/>
        <v>4.9660000000000002</v>
      </c>
      <c r="I49" s="38">
        <f t="shared" si="38"/>
        <v>5.0837000000000003</v>
      </c>
      <c r="J49" s="38">
        <f t="shared" si="38"/>
        <v>5.3444949999999993</v>
      </c>
      <c r="K49" s="38">
        <f t="shared" si="38"/>
        <v>5.7447612499999998</v>
      </c>
    </row>
    <row r="50" spans="2:11" x14ac:dyDescent="0.25">
      <c r="B50" t="s">
        <v>66</v>
      </c>
      <c r="G50" s="38">
        <f>-G90</f>
        <v>-3.5736986301369811</v>
      </c>
      <c r="H50" s="38">
        <f t="shared" ref="H50:K50" si="39">-H90</f>
        <v>-5.0360547945205525</v>
      </c>
      <c r="I50" s="38">
        <f t="shared" si="39"/>
        <v>-5.7914630136986105</v>
      </c>
      <c r="J50" s="38">
        <f t="shared" si="39"/>
        <v>-6.6601824657534365</v>
      </c>
      <c r="K50" s="38">
        <f t="shared" si="39"/>
        <v>-7.6592098356164229</v>
      </c>
    </row>
    <row r="51" spans="2:11" x14ac:dyDescent="0.25">
      <c r="B51" t="s">
        <v>44</v>
      </c>
      <c r="G51" s="33"/>
      <c r="H51" s="33"/>
      <c r="I51" s="33"/>
      <c r="J51" s="33"/>
      <c r="K51" s="33"/>
    </row>
    <row r="52" spans="2:11" x14ac:dyDescent="0.25">
      <c r="B52" s="13" t="s">
        <v>45</v>
      </c>
      <c r="C52" s="13"/>
      <c r="D52" s="13"/>
      <c r="E52" s="13"/>
      <c r="F52" s="13"/>
      <c r="G52" s="14">
        <f>+G48+G49+G51+G50</f>
        <v>9.9037013698630147</v>
      </c>
      <c r="H52" s="14">
        <f t="shared" ref="H52:K52" si="40">+H48+H49+H51+H50</f>
        <v>10.484095205479445</v>
      </c>
      <c r="I52" s="14">
        <f t="shared" si="40"/>
        <v>12.102021486301378</v>
      </c>
      <c r="J52" s="14">
        <f t="shared" si="40"/>
        <v>13.977714309246561</v>
      </c>
      <c r="K52" s="14">
        <f t="shared" si="40"/>
        <v>16.142563135633569</v>
      </c>
    </row>
    <row r="53" spans="2:11" x14ac:dyDescent="0.25">
      <c r="G53" s="33"/>
      <c r="H53" s="33"/>
      <c r="I53" s="33"/>
      <c r="J53" s="33"/>
      <c r="K53" s="33"/>
    </row>
    <row r="54" spans="2:11" x14ac:dyDescent="0.25">
      <c r="B54" t="s">
        <v>46</v>
      </c>
      <c r="G54" s="38">
        <f>+G20</f>
        <v>-4.83</v>
      </c>
      <c r="H54" s="38">
        <f t="shared" ref="H54:K54" si="41">+H20</f>
        <v>-5.5545</v>
      </c>
      <c r="I54" s="38">
        <f t="shared" si="41"/>
        <v>-6.3876749999999998</v>
      </c>
      <c r="J54" s="38">
        <f t="shared" si="41"/>
        <v>-7.3458262499999991</v>
      </c>
      <c r="K54" s="38">
        <f t="shared" si="41"/>
        <v>-8.4477001874999988</v>
      </c>
    </row>
    <row r="55" spans="2:11" x14ac:dyDescent="0.25">
      <c r="B55" s="13" t="s">
        <v>47</v>
      </c>
      <c r="C55" s="13"/>
      <c r="D55" s="13"/>
      <c r="E55" s="13"/>
      <c r="F55" s="13"/>
      <c r="G55" s="49">
        <f>+G54</f>
        <v>-4.83</v>
      </c>
      <c r="H55" s="49">
        <f t="shared" ref="H55:K55" si="42">+H54</f>
        <v>-5.5545</v>
      </c>
      <c r="I55" s="49">
        <f t="shared" si="42"/>
        <v>-6.3876749999999998</v>
      </c>
      <c r="J55" s="49">
        <f t="shared" si="42"/>
        <v>-7.3458262499999991</v>
      </c>
      <c r="K55" s="49">
        <f t="shared" si="42"/>
        <v>-8.4477001874999988</v>
      </c>
    </row>
    <row r="57" spans="2:11" x14ac:dyDescent="0.25">
      <c r="B57" t="s">
        <v>52</v>
      </c>
      <c r="G57" s="33"/>
      <c r="H57" s="33"/>
      <c r="I57" s="33"/>
      <c r="J57" s="33"/>
      <c r="K57" s="33"/>
    </row>
    <row r="58" spans="2:11" x14ac:dyDescent="0.25">
      <c r="B58" t="s">
        <v>48</v>
      </c>
      <c r="G58" s="38">
        <f>+G104</f>
        <v>-5</v>
      </c>
      <c r="H58" s="38">
        <f t="shared" ref="H58:K58" si="43">+H104</f>
        <v>-5</v>
      </c>
      <c r="I58" s="38">
        <f t="shared" si="43"/>
        <v>-5</v>
      </c>
      <c r="J58" s="38">
        <f t="shared" si="43"/>
        <v>-5</v>
      </c>
      <c r="K58" s="38">
        <f t="shared" si="43"/>
        <v>-5</v>
      </c>
    </row>
    <row r="59" spans="2:11" x14ac:dyDescent="0.25">
      <c r="B59" t="s">
        <v>49</v>
      </c>
      <c r="G59" s="33"/>
      <c r="H59" s="33"/>
      <c r="I59" s="33"/>
      <c r="J59" s="33"/>
      <c r="K59" s="33"/>
    </row>
    <row r="60" spans="2:11" x14ac:dyDescent="0.25">
      <c r="B60" t="s">
        <v>51</v>
      </c>
      <c r="G60" s="33"/>
      <c r="H60" s="33"/>
      <c r="I60" s="33"/>
      <c r="J60" s="33"/>
      <c r="K60" s="33"/>
    </row>
    <row r="61" spans="2:11" x14ac:dyDescent="0.25">
      <c r="B61" s="13" t="s">
        <v>50</v>
      </c>
      <c r="C61" s="13"/>
      <c r="D61" s="13"/>
      <c r="E61" s="13"/>
      <c r="F61" s="13"/>
      <c r="G61" s="49">
        <f>+G60+G59+G58+G57</f>
        <v>-5</v>
      </c>
      <c r="H61" s="49">
        <f t="shared" ref="H61:K61" si="44">+H60+H59+H58+H57</f>
        <v>-5</v>
      </c>
      <c r="I61" s="49">
        <f t="shared" si="44"/>
        <v>-5</v>
      </c>
      <c r="J61" s="49">
        <f t="shared" si="44"/>
        <v>-5</v>
      </c>
      <c r="K61" s="49">
        <f t="shared" si="44"/>
        <v>-5</v>
      </c>
    </row>
    <row r="62" spans="2:11" ht="15.75" thickBot="1" x14ac:dyDescent="0.3"/>
    <row r="63" spans="2:11" ht="15.75" thickTop="1" x14ac:dyDescent="0.25">
      <c r="B63" s="28" t="s">
        <v>53</v>
      </c>
      <c r="C63" s="28"/>
      <c r="D63" s="28"/>
      <c r="E63" s="28">
        <f>+E61+E55+E52</f>
        <v>0</v>
      </c>
      <c r="F63" s="28">
        <f t="shared" ref="F63:K63" si="45">+F61+F55+F52</f>
        <v>0</v>
      </c>
      <c r="G63" s="32">
        <f t="shared" si="45"/>
        <v>7.3701369863014676E-2</v>
      </c>
      <c r="H63" s="32">
        <f t="shared" si="45"/>
        <v>-7.0404794520555924E-2</v>
      </c>
      <c r="I63" s="32">
        <f t="shared" si="45"/>
        <v>0.71434648630137865</v>
      </c>
      <c r="J63" s="32">
        <f t="shared" si="45"/>
        <v>1.6318880592465632</v>
      </c>
      <c r="K63" s="32">
        <f t="shared" si="45"/>
        <v>2.6948629481335704</v>
      </c>
    </row>
    <row r="65" spans="2:11" x14ac:dyDescent="0.25">
      <c r="B65" t="s">
        <v>54</v>
      </c>
      <c r="G65" s="9">
        <f>+F67</f>
        <v>20</v>
      </c>
      <c r="H65" s="9">
        <f t="shared" ref="H65:K65" si="46">+G67</f>
        <v>20.073701369863016</v>
      </c>
      <c r="I65" s="9">
        <f t="shared" si="46"/>
        <v>20.003296575342461</v>
      </c>
      <c r="J65" s="9">
        <f t="shared" si="46"/>
        <v>20.717643061643841</v>
      </c>
      <c r="K65" s="9">
        <f t="shared" si="46"/>
        <v>22.349531120890404</v>
      </c>
    </row>
    <row r="66" spans="2:11" x14ac:dyDescent="0.25">
      <c r="B66" t="s">
        <v>55</v>
      </c>
      <c r="G66" s="7">
        <f>+G63</f>
        <v>7.3701369863014676E-2</v>
      </c>
      <c r="H66" s="7">
        <f t="shared" ref="H66:K66" si="47">+H63</f>
        <v>-7.0404794520555924E-2</v>
      </c>
      <c r="I66" s="7">
        <f t="shared" si="47"/>
        <v>0.71434648630137865</v>
      </c>
      <c r="J66" s="7">
        <f t="shared" si="47"/>
        <v>1.6318880592465632</v>
      </c>
      <c r="K66" s="7">
        <f t="shared" si="47"/>
        <v>2.6948629481335704</v>
      </c>
    </row>
    <row r="67" spans="2:11" x14ac:dyDescent="0.25">
      <c r="B67" s="34" t="s">
        <v>56</v>
      </c>
      <c r="C67" s="34"/>
      <c r="D67" s="34"/>
      <c r="E67" s="34"/>
      <c r="F67" s="35">
        <f>+F27</f>
        <v>20</v>
      </c>
      <c r="G67" s="35">
        <f>+G65+G66</f>
        <v>20.073701369863016</v>
      </c>
      <c r="H67" s="35">
        <f t="shared" ref="H67:K67" si="48">+H65+H66</f>
        <v>20.003296575342461</v>
      </c>
      <c r="I67" s="35">
        <f t="shared" si="48"/>
        <v>20.717643061643841</v>
      </c>
      <c r="J67" s="35">
        <f t="shared" si="48"/>
        <v>22.349531120890404</v>
      </c>
      <c r="K67" s="35">
        <f t="shared" si="48"/>
        <v>25.044394069023973</v>
      </c>
    </row>
    <row r="71" spans="2:11" x14ac:dyDescent="0.25">
      <c r="B71" s="37" t="s">
        <v>57</v>
      </c>
      <c r="C71" s="37"/>
      <c r="D71" s="37"/>
      <c r="E71" s="37"/>
      <c r="F71" s="37"/>
      <c r="G71" s="37"/>
      <c r="H71" s="37"/>
      <c r="I71" s="37"/>
      <c r="J71" s="37"/>
      <c r="K71" s="37"/>
    </row>
    <row r="73" spans="2:11" x14ac:dyDescent="0.25">
      <c r="B73" s="2" t="s">
        <v>58</v>
      </c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5">
      <c r="B74" s="4" t="str">
        <f>+B47</f>
        <v>C$ - MM</v>
      </c>
      <c r="C74" s="4"/>
      <c r="D74" s="4"/>
      <c r="E74" s="5">
        <v>2013</v>
      </c>
      <c r="F74" s="5">
        <v>2014</v>
      </c>
      <c r="G74" s="6">
        <f t="shared" ref="G74" si="49">+F74+1</f>
        <v>2015</v>
      </c>
      <c r="H74" s="6">
        <f t="shared" ref="H74" si="50">+G74+1</f>
        <v>2016</v>
      </c>
      <c r="I74" s="6">
        <f t="shared" ref="I74" si="51">+H74+1</f>
        <v>2017</v>
      </c>
      <c r="J74" s="6">
        <f t="shared" ref="J74" si="52">+I74+1</f>
        <v>2018</v>
      </c>
      <c r="K74" s="6">
        <f t="shared" ref="K74" si="53">+J74+1</f>
        <v>2019</v>
      </c>
    </row>
    <row r="75" spans="2:11" x14ac:dyDescent="0.25">
      <c r="B75" t="str">
        <f>+B4</f>
        <v>Sales</v>
      </c>
      <c r="E75">
        <f t="shared" ref="E75:K75" si="54">+E4</f>
        <v>100</v>
      </c>
      <c r="F75">
        <f t="shared" si="54"/>
        <v>120</v>
      </c>
      <c r="G75">
        <f t="shared" si="54"/>
        <v>138</v>
      </c>
      <c r="H75">
        <f t="shared" si="54"/>
        <v>158.69999999999999</v>
      </c>
      <c r="I75">
        <f t="shared" si="54"/>
        <v>182.50499999999997</v>
      </c>
      <c r="J75">
        <f t="shared" si="54"/>
        <v>209.88074999999995</v>
      </c>
      <c r="K75">
        <f t="shared" si="54"/>
        <v>241.36286249999992</v>
      </c>
    </row>
    <row r="76" spans="2:11" x14ac:dyDescent="0.25">
      <c r="B76" t="str">
        <f>+B5</f>
        <v>COGS</v>
      </c>
      <c r="E76" s="38">
        <f t="shared" ref="E76:K76" si="55">+E5</f>
        <v>-50</v>
      </c>
      <c r="F76" s="38">
        <f t="shared" si="55"/>
        <v>-65</v>
      </c>
      <c r="G76" s="38">
        <f t="shared" si="55"/>
        <v>-71.760000000000005</v>
      </c>
      <c r="H76" s="38">
        <f t="shared" si="55"/>
        <v>-82.524000000000001</v>
      </c>
      <c r="I76" s="38">
        <f t="shared" si="55"/>
        <v>-94.902599999999993</v>
      </c>
      <c r="J76" s="38">
        <f t="shared" si="55"/>
        <v>-109.13798999999997</v>
      </c>
      <c r="K76" s="38">
        <f t="shared" si="55"/>
        <v>-125.50868849999996</v>
      </c>
    </row>
    <row r="78" spans="2:11" x14ac:dyDescent="0.25">
      <c r="B78" t="str">
        <f>+B28</f>
        <v>Receivables</v>
      </c>
      <c r="F78" s="38">
        <f>+F28</f>
        <v>10</v>
      </c>
      <c r="G78" s="38">
        <f t="shared" ref="G78:K78" si="56">+G79*G$75/365</f>
        <v>11.342465753424657</v>
      </c>
      <c r="H78" s="38">
        <f t="shared" si="56"/>
        <v>13.043835616438356</v>
      </c>
      <c r="I78" s="38">
        <f t="shared" si="56"/>
        <v>15.000410958904107</v>
      </c>
      <c r="J78" s="38">
        <f t="shared" si="56"/>
        <v>17.250472602739723</v>
      </c>
      <c r="K78" s="38">
        <f t="shared" si="56"/>
        <v>19.838043493150678</v>
      </c>
    </row>
    <row r="79" spans="2:11" x14ac:dyDescent="0.25">
      <c r="B79" s="17" t="s">
        <v>64</v>
      </c>
      <c r="C79" s="45">
        <f>+Assumptions!D12</f>
        <v>30</v>
      </c>
      <c r="D79" s="17"/>
      <c r="E79" s="17"/>
      <c r="F79" s="46">
        <f>+F78/$F75*365</f>
        <v>30.416666666666664</v>
      </c>
      <c r="G79" s="46">
        <f t="shared" ref="G79:K79" si="57">+$C$79</f>
        <v>30</v>
      </c>
      <c r="H79" s="46">
        <f t="shared" si="57"/>
        <v>30</v>
      </c>
      <c r="I79" s="46">
        <f t="shared" si="57"/>
        <v>30</v>
      </c>
      <c r="J79" s="46">
        <f t="shared" si="57"/>
        <v>30</v>
      </c>
      <c r="K79" s="46">
        <f t="shared" si="57"/>
        <v>30</v>
      </c>
    </row>
    <row r="80" spans="2:11" x14ac:dyDescent="0.25">
      <c r="F80" s="38"/>
    </row>
    <row r="81" spans="2:11" x14ac:dyDescent="0.25">
      <c r="B81" t="str">
        <f>+B29</f>
        <v xml:space="preserve">Inventory </v>
      </c>
      <c r="F81" s="38">
        <f>+F29</f>
        <v>30</v>
      </c>
      <c r="G81" s="38">
        <f t="shared" ref="G81" si="58">+G82*G$75/365</f>
        <v>34.027397260273972</v>
      </c>
      <c r="H81" s="38">
        <f t="shared" ref="H81" si="59">+H82*H$75/365</f>
        <v>39.131506849315066</v>
      </c>
      <c r="I81" s="38">
        <f t="shared" ref="I81" si="60">+I82*I$75/365</f>
        <v>45.001232876712322</v>
      </c>
      <c r="J81" s="38">
        <f t="shared" ref="J81" si="61">+J82*J$75/365</f>
        <v>51.751417808219166</v>
      </c>
      <c r="K81" s="38">
        <f t="shared" ref="K81" si="62">+K82*K$75/365</f>
        <v>59.514130479452035</v>
      </c>
    </row>
    <row r="82" spans="2:11" x14ac:dyDescent="0.25">
      <c r="B82" s="17" t="s">
        <v>64</v>
      </c>
      <c r="C82" s="45">
        <f>+Assumptions!D13</f>
        <v>90</v>
      </c>
      <c r="D82" s="17"/>
      <c r="E82" s="17"/>
      <c r="F82" s="46">
        <f>+F81/F$75*365</f>
        <v>91.25</v>
      </c>
      <c r="G82" s="46">
        <f t="shared" ref="G82:K82" si="63">+$C$82</f>
        <v>90</v>
      </c>
      <c r="H82" s="46">
        <f t="shared" si="63"/>
        <v>90</v>
      </c>
      <c r="I82" s="46">
        <f t="shared" si="63"/>
        <v>90</v>
      </c>
      <c r="J82" s="46">
        <f t="shared" si="63"/>
        <v>90</v>
      </c>
      <c r="K82" s="46">
        <f t="shared" si="63"/>
        <v>90</v>
      </c>
    </row>
    <row r="83" spans="2:11" x14ac:dyDescent="0.25">
      <c r="F83" s="38"/>
    </row>
    <row r="84" spans="2:11" x14ac:dyDescent="0.25">
      <c r="B84" t="str">
        <f>+B30</f>
        <v>prepaids</v>
      </c>
      <c r="F84" s="38">
        <f>+F30</f>
        <v>5</v>
      </c>
      <c r="G84" s="38">
        <f>+F84</f>
        <v>5</v>
      </c>
      <c r="H84" s="38">
        <f t="shared" ref="H84:K84" si="64">+G84</f>
        <v>5</v>
      </c>
      <c r="I84" s="38">
        <f t="shared" si="64"/>
        <v>5</v>
      </c>
      <c r="J84" s="38">
        <f t="shared" si="64"/>
        <v>5</v>
      </c>
      <c r="K84" s="38">
        <f t="shared" si="64"/>
        <v>5</v>
      </c>
    </row>
    <row r="85" spans="2:11" x14ac:dyDescent="0.25">
      <c r="F85" s="38"/>
    </row>
    <row r="86" spans="2:11" x14ac:dyDescent="0.25">
      <c r="B86" t="str">
        <f>+B39</f>
        <v>Payables</v>
      </c>
      <c r="F86" s="38">
        <f>+F39</f>
        <v>10</v>
      </c>
      <c r="G86" s="38">
        <f>-G87*G$76/365</f>
        <v>11.796164383561646</v>
      </c>
      <c r="H86" s="38">
        <f t="shared" ref="H86:K86" si="65">-H87*H$76/365</f>
        <v>13.565589041095892</v>
      </c>
      <c r="I86" s="38">
        <f t="shared" si="65"/>
        <v>15.600427397260274</v>
      </c>
      <c r="J86" s="38">
        <f t="shared" si="65"/>
        <v>17.940491506849312</v>
      </c>
      <c r="K86" s="38">
        <f t="shared" si="65"/>
        <v>20.631565232876707</v>
      </c>
    </row>
    <row r="87" spans="2:11" x14ac:dyDescent="0.25">
      <c r="B87" s="17" t="s">
        <v>65</v>
      </c>
      <c r="C87" s="44">
        <f>+Assumptions!D14</f>
        <v>60</v>
      </c>
      <c r="F87" s="46">
        <f>-F86/F$76*365</f>
        <v>56.15384615384616</v>
      </c>
      <c r="G87" s="46">
        <f t="shared" ref="G87:K87" si="66">+$C$87</f>
        <v>60</v>
      </c>
      <c r="H87" s="46">
        <f t="shared" si="66"/>
        <v>60</v>
      </c>
      <c r="I87" s="46">
        <f t="shared" si="66"/>
        <v>60</v>
      </c>
      <c r="J87" s="46">
        <f t="shared" si="66"/>
        <v>60</v>
      </c>
      <c r="K87" s="46">
        <f t="shared" si="66"/>
        <v>60</v>
      </c>
    </row>
    <row r="89" spans="2:11" x14ac:dyDescent="0.25">
      <c r="B89" s="3" t="s">
        <v>58</v>
      </c>
      <c r="C89" s="3"/>
      <c r="D89" s="3"/>
      <c r="E89" s="3"/>
      <c r="F89" s="47">
        <f>+F78+F81+F84-F86</f>
        <v>35</v>
      </c>
      <c r="G89" s="47">
        <f t="shared" ref="G89:K89" si="67">+G78+G81+G84-G86</f>
        <v>38.573698630136981</v>
      </c>
      <c r="H89" s="47">
        <f t="shared" si="67"/>
        <v>43.609753424657534</v>
      </c>
      <c r="I89" s="47">
        <f t="shared" si="67"/>
        <v>49.401216438356144</v>
      </c>
      <c r="J89" s="47">
        <f t="shared" si="67"/>
        <v>56.061398904109581</v>
      </c>
      <c r="K89" s="47">
        <f t="shared" si="67"/>
        <v>63.720608739726003</v>
      </c>
    </row>
    <row r="90" spans="2:11" x14ac:dyDescent="0.25">
      <c r="B90" s="3" t="s">
        <v>66</v>
      </c>
      <c r="C90" s="3"/>
      <c r="D90" s="3"/>
      <c r="E90" s="3"/>
      <c r="F90" s="3"/>
      <c r="G90" s="47">
        <f>+G89-F89</f>
        <v>3.5736986301369811</v>
      </c>
      <c r="H90" s="47">
        <f t="shared" ref="H90:K90" si="68">+H89-G89</f>
        <v>5.0360547945205525</v>
      </c>
      <c r="I90" s="47">
        <f t="shared" si="68"/>
        <v>5.7914630136986105</v>
      </c>
      <c r="J90" s="47">
        <f t="shared" si="68"/>
        <v>6.6601824657534365</v>
      </c>
      <c r="K90" s="47">
        <f t="shared" si="68"/>
        <v>7.6592098356164229</v>
      </c>
    </row>
    <row r="93" spans="2:11" ht="24.95" customHeight="1" x14ac:dyDescent="0.25">
      <c r="B93" s="39" t="s">
        <v>67</v>
      </c>
      <c r="C93" s="39"/>
      <c r="D93" s="39"/>
      <c r="E93" s="39"/>
      <c r="F93" s="39"/>
      <c r="G93" s="39"/>
      <c r="H93" s="39"/>
      <c r="I93" s="39"/>
      <c r="J93" s="39"/>
      <c r="K93" s="39"/>
    </row>
    <row r="94" spans="2:11" x14ac:dyDescent="0.25">
      <c r="B94" s="4" t="str">
        <f>+B74</f>
        <v>C$ - MM</v>
      </c>
      <c r="C94" s="4"/>
      <c r="D94" s="4"/>
      <c r="E94" s="5">
        <v>2013</v>
      </c>
      <c r="F94" s="5">
        <v>2014</v>
      </c>
      <c r="G94" s="6">
        <f t="shared" ref="G94" si="69">+F94+1</f>
        <v>2015</v>
      </c>
      <c r="H94" s="6">
        <f t="shared" ref="H94" si="70">+G94+1</f>
        <v>2016</v>
      </c>
      <c r="I94" s="6">
        <f t="shared" ref="I94" si="71">+H94+1</f>
        <v>2017</v>
      </c>
      <c r="J94" s="6">
        <f t="shared" ref="J94" si="72">+I94+1</f>
        <v>2018</v>
      </c>
      <c r="K94" s="6">
        <f t="shared" ref="K94" si="73">+J94+1</f>
        <v>2019</v>
      </c>
    </row>
    <row r="95" spans="2:11" x14ac:dyDescent="0.25">
      <c r="B95" t="s">
        <v>68</v>
      </c>
      <c r="G95" s="7">
        <f>+F98</f>
        <v>25</v>
      </c>
      <c r="H95" s="7">
        <f>+G98</f>
        <v>24.83</v>
      </c>
      <c r="I95" s="7">
        <f t="shared" ref="I95:K95" si="74">+H98</f>
        <v>25.418499999999998</v>
      </c>
      <c r="J95" s="7">
        <f t="shared" si="74"/>
        <v>26.722474999999996</v>
      </c>
      <c r="K95" s="7">
        <f t="shared" si="74"/>
        <v>28.723806249999999</v>
      </c>
    </row>
    <row r="96" spans="2:11" x14ac:dyDescent="0.25">
      <c r="B96" t="s">
        <v>19</v>
      </c>
      <c r="G96" s="9">
        <f>-G20</f>
        <v>4.83</v>
      </c>
      <c r="H96" s="9">
        <f t="shared" ref="H96:K96" si="75">-H20</f>
        <v>5.5545</v>
      </c>
      <c r="I96" s="9">
        <f t="shared" si="75"/>
        <v>6.3876749999999998</v>
      </c>
      <c r="J96" s="9">
        <f t="shared" si="75"/>
        <v>7.3458262499999991</v>
      </c>
      <c r="K96" s="9">
        <f t="shared" si="75"/>
        <v>8.4477001874999988</v>
      </c>
    </row>
    <row r="97" spans="2:12" x14ac:dyDescent="0.25">
      <c r="B97" s="11" t="s">
        <v>7</v>
      </c>
      <c r="C97" s="50">
        <f>+Assumptions!D10</f>
        <v>0.2</v>
      </c>
      <c r="D97" s="11"/>
      <c r="E97" s="11"/>
      <c r="F97" s="11"/>
      <c r="G97" s="51">
        <f t="shared" ref="G97:K97" si="76">-G95*$C$97</f>
        <v>-5</v>
      </c>
      <c r="H97" s="51">
        <f t="shared" si="76"/>
        <v>-4.9660000000000002</v>
      </c>
      <c r="I97" s="51">
        <f t="shared" si="76"/>
        <v>-5.0837000000000003</v>
      </c>
      <c r="J97" s="51">
        <f t="shared" si="76"/>
        <v>-5.3444949999999993</v>
      </c>
      <c r="K97" s="51">
        <f t="shared" si="76"/>
        <v>-5.7447612499999998</v>
      </c>
    </row>
    <row r="98" spans="2:12" x14ac:dyDescent="0.25">
      <c r="B98" s="3" t="s">
        <v>69</v>
      </c>
      <c r="C98" s="3"/>
      <c r="D98" s="3"/>
      <c r="E98" s="3"/>
      <c r="F98" s="15">
        <f>+F32</f>
        <v>25</v>
      </c>
      <c r="G98" s="15">
        <f>+G95+G96+G97</f>
        <v>24.83</v>
      </c>
      <c r="H98" s="15">
        <f t="shared" ref="H98:K98" si="77">+H95+H96+H97</f>
        <v>25.418499999999998</v>
      </c>
      <c r="I98" s="15">
        <f t="shared" si="77"/>
        <v>26.722474999999996</v>
      </c>
      <c r="J98" s="15">
        <f t="shared" si="77"/>
        <v>28.723806249999999</v>
      </c>
      <c r="K98" s="15">
        <f t="shared" si="77"/>
        <v>31.4267451875</v>
      </c>
    </row>
    <row r="101" spans="2:12" ht="17.25" x14ac:dyDescent="0.25">
      <c r="B101" s="39" t="s">
        <v>71</v>
      </c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2:12" x14ac:dyDescent="0.25">
      <c r="B102" s="4" t="str">
        <f>+$B$94</f>
        <v>C$ - MM</v>
      </c>
      <c r="C102" s="4"/>
      <c r="D102" s="4"/>
      <c r="E102" s="5">
        <v>2013</v>
      </c>
      <c r="F102" s="5">
        <v>2014</v>
      </c>
      <c r="G102" s="6">
        <f t="shared" ref="G102" si="78">+F102+1</f>
        <v>2015</v>
      </c>
      <c r="H102" s="6">
        <f t="shared" ref="H102" si="79">+G102+1</f>
        <v>2016</v>
      </c>
      <c r="I102" s="6">
        <f t="shared" ref="I102" si="80">+H102+1</f>
        <v>2017</v>
      </c>
      <c r="J102" s="6">
        <f t="shared" ref="J102" si="81">+I102+1</f>
        <v>2018</v>
      </c>
      <c r="K102" s="6">
        <f t="shared" ref="K102" si="82">+J102+1</f>
        <v>2019</v>
      </c>
    </row>
    <row r="103" spans="2:12" x14ac:dyDescent="0.25">
      <c r="B103" t="s">
        <v>72</v>
      </c>
      <c r="G103" s="7">
        <f>+F105</f>
        <v>25</v>
      </c>
      <c r="H103" s="7">
        <f t="shared" ref="H103:K103" si="83">+G105</f>
        <v>20</v>
      </c>
      <c r="I103" s="7">
        <f t="shared" si="83"/>
        <v>15</v>
      </c>
      <c r="J103" s="7">
        <f t="shared" si="83"/>
        <v>10</v>
      </c>
      <c r="K103" s="7">
        <f t="shared" si="83"/>
        <v>5</v>
      </c>
    </row>
    <row r="104" spans="2:12" x14ac:dyDescent="0.25">
      <c r="B104" t="s">
        <v>78</v>
      </c>
      <c r="C104" s="54">
        <f>+Assumptions!D16</f>
        <v>0.2</v>
      </c>
      <c r="G104" s="38">
        <f>-G103*C104</f>
        <v>-5</v>
      </c>
      <c r="H104" s="38">
        <f>+G104</f>
        <v>-5</v>
      </c>
      <c r="I104" s="38">
        <f>+H104</f>
        <v>-5</v>
      </c>
      <c r="J104" s="38">
        <f t="shared" ref="I104:K104" si="84">+I104</f>
        <v>-5</v>
      </c>
      <c r="K104" s="38">
        <f t="shared" si="84"/>
        <v>-5</v>
      </c>
      <c r="L104" s="38"/>
    </row>
    <row r="105" spans="2:12" x14ac:dyDescent="0.25">
      <c r="B105" t="s">
        <v>73</v>
      </c>
      <c r="C105" s="54"/>
      <c r="F105" s="7">
        <f>+F38+F41</f>
        <v>25</v>
      </c>
      <c r="G105" s="7">
        <f>+G103+G104</f>
        <v>20</v>
      </c>
      <c r="H105" s="7">
        <f t="shared" ref="H105:K105" si="85">+H103+H104</f>
        <v>15</v>
      </c>
      <c r="I105" s="7">
        <f t="shared" si="85"/>
        <v>10</v>
      </c>
      <c r="J105" s="7">
        <f t="shared" si="85"/>
        <v>5</v>
      </c>
      <c r="K105" s="7">
        <f t="shared" si="85"/>
        <v>0</v>
      </c>
    </row>
    <row r="106" spans="2:12" x14ac:dyDescent="0.25">
      <c r="C106" s="54"/>
    </row>
    <row r="107" spans="2:12" x14ac:dyDescent="0.25">
      <c r="B107" t="s">
        <v>8</v>
      </c>
      <c r="C107" s="54">
        <f>+Assumptions!D17</f>
        <v>0.04</v>
      </c>
      <c r="G107" s="38">
        <f>-$C$107*G103</f>
        <v>-1</v>
      </c>
      <c r="H107" s="38">
        <f t="shared" ref="H107:K107" si="86">-$C$107*H103</f>
        <v>-0.8</v>
      </c>
      <c r="I107" s="38">
        <f t="shared" si="86"/>
        <v>-0.6</v>
      </c>
      <c r="J107" s="38">
        <f t="shared" si="86"/>
        <v>-0.4</v>
      </c>
      <c r="K107" s="38">
        <f t="shared" si="86"/>
        <v>-0.2</v>
      </c>
    </row>
    <row r="109" spans="2:12" x14ac:dyDescent="0.25">
      <c r="B109" t="s">
        <v>74</v>
      </c>
      <c r="G109" s="38">
        <f>-H104</f>
        <v>5</v>
      </c>
      <c r="H109" s="38">
        <f t="shared" ref="H109:K109" si="87">-I104</f>
        <v>5</v>
      </c>
      <c r="I109" s="38">
        <f t="shared" si="87"/>
        <v>5</v>
      </c>
      <c r="J109" s="38">
        <f t="shared" si="87"/>
        <v>5</v>
      </c>
      <c r="K109" s="38">
        <f t="shared" si="87"/>
        <v>0</v>
      </c>
    </row>
    <row r="110" spans="2:12" x14ac:dyDescent="0.25">
      <c r="B110" t="s">
        <v>75</v>
      </c>
      <c r="G110" s="38">
        <f>+G105-G109</f>
        <v>15</v>
      </c>
      <c r="H110" s="38">
        <f t="shared" ref="H110:K110" si="88">+H105-H109</f>
        <v>10</v>
      </c>
      <c r="I110" s="38">
        <f t="shared" si="88"/>
        <v>5</v>
      </c>
      <c r="J110" s="38">
        <f t="shared" si="88"/>
        <v>0</v>
      </c>
      <c r="K110" s="38"/>
    </row>
    <row r="113" spans="2:13" ht="17.25" x14ac:dyDescent="0.25">
      <c r="B113" s="39" t="s">
        <v>79</v>
      </c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2:13" x14ac:dyDescent="0.25">
      <c r="B114" s="4" t="str">
        <f>+$B$94</f>
        <v>C$ - MM</v>
      </c>
      <c r="C114" s="4"/>
      <c r="D114" s="4"/>
      <c r="E114" s="5">
        <v>2013</v>
      </c>
      <c r="F114" s="5">
        <v>2014</v>
      </c>
      <c r="G114" s="6">
        <f t="shared" ref="G114" si="89">+F114+1</f>
        <v>2015</v>
      </c>
      <c r="H114" s="6">
        <f t="shared" ref="H114" si="90">+G114+1</f>
        <v>2016</v>
      </c>
      <c r="I114" s="6">
        <f t="shared" ref="I114" si="91">+H114+1</f>
        <v>2017</v>
      </c>
      <c r="J114" s="6">
        <f t="shared" ref="J114" si="92">+I114+1</f>
        <v>2018</v>
      </c>
      <c r="K114" s="6">
        <f t="shared" ref="K114" si="93">+J114+1</f>
        <v>2019</v>
      </c>
    </row>
    <row r="115" spans="2:13" x14ac:dyDescent="0.25">
      <c r="B115" t="s">
        <v>80</v>
      </c>
    </row>
    <row r="116" spans="2:13" x14ac:dyDescent="0.25">
      <c r="B116" t="s">
        <v>6</v>
      </c>
      <c r="F116" s="9">
        <f>+F10</f>
        <v>12</v>
      </c>
      <c r="G116" s="9">
        <f>+G10</f>
        <v>17.939999999999994</v>
      </c>
      <c r="H116" s="9">
        <f t="shared" ref="H116:K116" si="94">+H10</f>
        <v>20.630999999999997</v>
      </c>
      <c r="I116" s="9">
        <f t="shared" si="94"/>
        <v>23.725649999999984</v>
      </c>
      <c r="J116" s="9">
        <f t="shared" si="94"/>
        <v>27.284497499999993</v>
      </c>
      <c r="K116" s="9">
        <f t="shared" si="94"/>
        <v>31.377172124999987</v>
      </c>
    </row>
    <row r="117" spans="2:13" x14ac:dyDescent="0.25">
      <c r="B117" t="s">
        <v>81</v>
      </c>
      <c r="C117" s="16">
        <f>+C14</f>
        <v>0.28999999999999998</v>
      </c>
      <c r="G117" s="38">
        <f>+(1-$C$117)*G116</f>
        <v>12.737399999999996</v>
      </c>
      <c r="H117" s="38">
        <f t="shared" ref="H117:K117" si="95">+(1-$C$117)*H116</f>
        <v>14.648009999999998</v>
      </c>
      <c r="I117" s="38">
        <f t="shared" si="95"/>
        <v>16.845211499999987</v>
      </c>
      <c r="J117" s="38">
        <f t="shared" si="95"/>
        <v>19.371993224999994</v>
      </c>
      <c r="K117" s="38">
        <f t="shared" si="95"/>
        <v>22.27779220874999</v>
      </c>
    </row>
    <row r="118" spans="2:13" x14ac:dyDescent="0.25">
      <c r="B118" t="s">
        <v>82</v>
      </c>
      <c r="C118" s="16">
        <f>+C117</f>
        <v>0.28999999999999998</v>
      </c>
      <c r="G118" s="38">
        <f t="shared" ref="G118:K118" si="96">-$C$118*G11</f>
        <v>1.45</v>
      </c>
      <c r="H118" s="38">
        <f t="shared" si="96"/>
        <v>1.44014</v>
      </c>
      <c r="I118" s="38">
        <f t="shared" si="96"/>
        <v>1.4742729999999999</v>
      </c>
      <c r="J118" s="38">
        <f t="shared" si="96"/>
        <v>1.5499035499999998</v>
      </c>
      <c r="K118" s="38">
        <f t="shared" si="96"/>
        <v>1.6659807624999998</v>
      </c>
    </row>
    <row r="119" spans="2:13" x14ac:dyDescent="0.25">
      <c r="B119" t="s">
        <v>19</v>
      </c>
      <c r="G119" s="9">
        <f>+G20</f>
        <v>-4.83</v>
      </c>
      <c r="H119" s="9">
        <f t="shared" ref="H119:K119" si="97">+H20</f>
        <v>-5.5545</v>
      </c>
      <c r="I119" s="9">
        <f t="shared" si="97"/>
        <v>-6.3876749999999998</v>
      </c>
      <c r="J119" s="9">
        <f t="shared" si="97"/>
        <v>-7.3458262499999991</v>
      </c>
      <c r="K119" s="9">
        <f t="shared" si="97"/>
        <v>-8.4477001874999988</v>
      </c>
    </row>
    <row r="120" spans="2:13" x14ac:dyDescent="0.25">
      <c r="B120" t="str">
        <f>" -Change in WC"</f>
        <v xml:space="preserve"> -Change in WC</v>
      </c>
      <c r="G120" s="38">
        <f>-G90</f>
        <v>-3.5736986301369811</v>
      </c>
      <c r="H120" s="38">
        <f t="shared" ref="H120:K120" si="98">-H90</f>
        <v>-5.0360547945205525</v>
      </c>
      <c r="I120" s="38">
        <f t="shared" si="98"/>
        <v>-5.7914630136986105</v>
      </c>
      <c r="J120" s="38">
        <f t="shared" si="98"/>
        <v>-6.6601824657534365</v>
      </c>
      <c r="K120" s="38">
        <f t="shared" si="98"/>
        <v>-7.6592098356164229</v>
      </c>
    </row>
    <row r="121" spans="2:13" x14ac:dyDescent="0.25">
      <c r="B121" s="13" t="s">
        <v>80</v>
      </c>
      <c r="C121" s="13" t="s">
        <v>87</v>
      </c>
      <c r="D121" s="13" t="s">
        <v>88</v>
      </c>
      <c r="E121" s="13"/>
      <c r="F121" s="13"/>
      <c r="G121" s="49">
        <f>+G117+G118+G119+G120</f>
        <v>5.7837013698630138</v>
      </c>
      <c r="H121" s="49">
        <f t="shared" ref="H121:K121" si="99">+H117+H118+H119+H120</f>
        <v>5.4975952054794455</v>
      </c>
      <c r="I121" s="49">
        <f t="shared" si="99"/>
        <v>6.140346486301377</v>
      </c>
      <c r="J121" s="49">
        <f t="shared" si="99"/>
        <v>6.9158880592465586</v>
      </c>
      <c r="K121" s="49">
        <f t="shared" si="99"/>
        <v>7.8368629481335663</v>
      </c>
      <c r="L121" s="55">
        <f>+K121*(1+D122)</f>
        <v>7.9936002070962378</v>
      </c>
    </row>
    <row r="122" spans="2:13" x14ac:dyDescent="0.25">
      <c r="C122" s="54">
        <f>+Assumptions!H3</f>
        <v>0.11</v>
      </c>
      <c r="D122" s="54">
        <f>+Assumptions!H4</f>
        <v>0.02</v>
      </c>
      <c r="L122" s="38">
        <f>+L121/(C122-D122)</f>
        <v>88.817780078847093</v>
      </c>
      <c r="M122" t="s">
        <v>86</v>
      </c>
    </row>
    <row r="123" spans="2:13" x14ac:dyDescent="0.25">
      <c r="B123" t="s">
        <v>89</v>
      </c>
      <c r="G123">
        <v>1</v>
      </c>
      <c r="H123">
        <f>+G123+1</f>
        <v>2</v>
      </c>
      <c r="I123">
        <f t="shared" ref="I123:K123" si="100">+H123+1</f>
        <v>3</v>
      </c>
      <c r="J123">
        <f t="shared" si="100"/>
        <v>4</v>
      </c>
      <c r="K123">
        <f t="shared" si="100"/>
        <v>5</v>
      </c>
    </row>
    <row r="124" spans="2:13" ht="15.75" thickBot="1" x14ac:dyDescent="0.3">
      <c r="G124" s="57">
        <f>1/(1+$C$122)^G123</f>
        <v>0.9009009009009008</v>
      </c>
      <c r="H124" s="57">
        <f t="shared" ref="H124:K124" si="101">1/(1+$C$122)^H123</f>
        <v>0.8116224332440547</v>
      </c>
      <c r="I124" s="57">
        <f t="shared" si="101"/>
        <v>0.73119138130095018</v>
      </c>
      <c r="J124" s="57">
        <f t="shared" si="101"/>
        <v>0.65873097414500015</v>
      </c>
      <c r="K124" s="57">
        <f t="shared" si="101"/>
        <v>0.5934513280585586</v>
      </c>
      <c r="L124" s="57">
        <f>+K124</f>
        <v>0.5934513280585586</v>
      </c>
    </row>
    <row r="125" spans="2:13" ht="15.75" thickBot="1" x14ac:dyDescent="0.3">
      <c r="B125" t="s">
        <v>90</v>
      </c>
      <c r="C125" s="58">
        <f>SUM(G125:L125)</f>
        <v>76.077817747031418</v>
      </c>
      <c r="G125" s="38">
        <f>+G121*G124</f>
        <v>5.2105417746513636</v>
      </c>
      <c r="H125" s="38">
        <f t="shared" ref="H125:L125" si="102">+H121*H124</f>
        <v>4.4619715976620764</v>
      </c>
      <c r="I125" s="38">
        <f t="shared" si="102"/>
        <v>4.4897684289851396</v>
      </c>
      <c r="J125" s="38">
        <f t="shared" si="102"/>
        <v>4.5557096783452602</v>
      </c>
      <c r="K125" s="38">
        <f t="shared" si="102"/>
        <v>4.6507967243827757</v>
      </c>
      <c r="L125" s="38">
        <f>+L122*L124</f>
        <v>52.709029543004796</v>
      </c>
    </row>
    <row r="127" spans="2:13" x14ac:dyDescent="0.25">
      <c r="C127" s="56">
        <f>+C125/F116</f>
        <v>6.3398181455859515</v>
      </c>
      <c r="K127" s="33">
        <f>+C127*K116</f>
        <v>198.92556519524862</v>
      </c>
    </row>
  </sheetData>
  <conditionalFormatting sqref="F44:K44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2:F14"/>
  <sheetViews>
    <sheetView zoomScale="150" zoomScaleNormal="150" workbookViewId="0">
      <selection activeCell="F6" sqref="F6"/>
    </sheetView>
  </sheetViews>
  <sheetFormatPr defaultRowHeight="15" x14ac:dyDescent="0.25"/>
  <sheetData>
    <row r="2" spans="3:6" x14ac:dyDescent="0.25">
      <c r="C2" t="s">
        <v>1</v>
      </c>
    </row>
    <row r="3" spans="3:6" x14ac:dyDescent="0.25">
      <c r="E3" s="1">
        <v>2013</v>
      </c>
      <c r="F3" s="1">
        <f>+E3+1</f>
        <v>2014</v>
      </c>
    </row>
    <row r="4" spans="3:6" x14ac:dyDescent="0.25">
      <c r="C4" t="s">
        <v>0</v>
      </c>
      <c r="E4" s="9">
        <v>100</v>
      </c>
      <c r="F4" s="9">
        <v>120</v>
      </c>
    </row>
    <row r="5" spans="3:6" x14ac:dyDescent="0.25">
      <c r="C5" t="s">
        <v>2</v>
      </c>
      <c r="E5" s="9">
        <v>-50</v>
      </c>
      <c r="F5" s="9">
        <v>-65</v>
      </c>
    </row>
    <row r="6" spans="3:6" x14ac:dyDescent="0.25">
      <c r="C6" s="3" t="s">
        <v>3</v>
      </c>
      <c r="D6" s="3"/>
      <c r="E6" s="10">
        <f t="shared" ref="E6:F6" si="0">+E4+E5</f>
        <v>50</v>
      </c>
      <c r="F6" s="10">
        <f t="shared" si="0"/>
        <v>55</v>
      </c>
    </row>
    <row r="7" spans="3:6" x14ac:dyDescent="0.25">
      <c r="C7" t="s">
        <v>4</v>
      </c>
      <c r="E7" s="9">
        <v>-20</v>
      </c>
      <c r="F7" s="9">
        <v>-22</v>
      </c>
    </row>
    <row r="8" spans="3:6" x14ac:dyDescent="0.25">
      <c r="C8" t="s">
        <v>5</v>
      </c>
      <c r="E8" s="9">
        <v>-20</v>
      </c>
      <c r="F8" s="9">
        <v>-21</v>
      </c>
    </row>
    <row r="9" spans="3:6" x14ac:dyDescent="0.25">
      <c r="C9" t="s">
        <v>6</v>
      </c>
      <c r="E9" s="9">
        <f t="shared" ref="E9:F9" si="1">+E6+E7+E8</f>
        <v>10</v>
      </c>
      <c r="F9" s="9">
        <f t="shared" si="1"/>
        <v>12</v>
      </c>
    </row>
    <row r="10" spans="3:6" x14ac:dyDescent="0.25">
      <c r="E10" s="9"/>
      <c r="F10" s="9"/>
    </row>
    <row r="11" spans="3:6" x14ac:dyDescent="0.25">
      <c r="E11" s="9"/>
      <c r="F11" s="9"/>
    </row>
    <row r="12" spans="3:6" x14ac:dyDescent="0.25">
      <c r="E12" s="9"/>
      <c r="F12" s="9"/>
    </row>
    <row r="13" spans="3:6" x14ac:dyDescent="0.25">
      <c r="E13" s="9"/>
      <c r="F13" s="9"/>
    </row>
    <row r="14" spans="3:6" x14ac:dyDescent="0.25">
      <c r="E14" s="9"/>
      <c r="F14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Company Financials</vt:lpstr>
      <vt:lpstr>Raw data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Renaud, Nicolas</cp:lastModifiedBy>
  <dcterms:created xsi:type="dcterms:W3CDTF">2014-10-05T13:58:37Z</dcterms:created>
  <dcterms:modified xsi:type="dcterms:W3CDTF">2014-10-05T20:06:41Z</dcterms:modified>
</cp:coreProperties>
</file>