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eben\Google Drive\_FINA695V - VC&amp;PE\"/>
    </mc:Choice>
  </mc:AlternateContent>
  <bookViews>
    <workbookView xWindow="0" yWindow="0" windowWidth="15600" windowHeight="11760" activeTab="1"/>
  </bookViews>
  <sheets>
    <sheet name="Assumptions" sheetId="1" r:id="rId1"/>
    <sheet name="Company Financials" sheetId="2" r:id="rId2"/>
    <sheet name="LBO Model" sheetId="5" r:id="rId3"/>
    <sheet name="LBO Model Acquisition BS" sheetId="6" r:id="rId4"/>
    <sheet name="Raw data" sheetId="3" r:id="rId5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41764.8763773148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150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6" l="1"/>
  <c r="J31" i="6"/>
  <c r="J35" i="6" s="1"/>
  <c r="I31" i="6"/>
  <c r="I35" i="6" s="1"/>
  <c r="H31" i="6"/>
  <c r="G31" i="6"/>
  <c r="G35" i="6" s="1"/>
  <c r="I22" i="6"/>
  <c r="C9" i="6"/>
  <c r="K9" i="6"/>
  <c r="J18" i="6" s="1"/>
  <c r="J22" i="6" s="1"/>
  <c r="J25" i="6" s="1"/>
  <c r="H9" i="6"/>
  <c r="C8" i="6"/>
  <c r="K11" i="6"/>
  <c r="F11" i="6" s="1"/>
  <c r="E11" i="6" l="1"/>
  <c r="L11" i="6"/>
  <c r="C116" i="2"/>
  <c r="C115" i="2"/>
  <c r="F113" i="2"/>
  <c r="K42" i="2"/>
  <c r="K31" i="2"/>
  <c r="J31" i="2"/>
  <c r="I31" i="2"/>
  <c r="H31" i="2"/>
  <c r="G31" i="2"/>
  <c r="K111" i="2"/>
  <c r="K110" i="2"/>
  <c r="K39" i="2" s="1"/>
  <c r="F79" i="2"/>
  <c r="F87" i="2"/>
  <c r="F50" i="2"/>
  <c r="E50" i="2"/>
  <c r="E5" i="2"/>
  <c r="F5" i="2"/>
  <c r="D179" i="5" l="1"/>
  <c r="D180" i="5" s="1"/>
  <c r="D181" i="5" s="1"/>
  <c r="D182" i="5" s="1"/>
  <c r="D183" i="5" s="1"/>
  <c r="D184" i="5" s="1"/>
  <c r="D185" i="5" s="1"/>
  <c r="D186" i="5" s="1"/>
  <c r="D187" i="5" s="1"/>
  <c r="D188" i="5" s="1"/>
  <c r="D189" i="5" s="1"/>
  <c r="D190" i="5" s="1"/>
  <c r="D191" i="5" s="1"/>
  <c r="D192" i="5" s="1"/>
  <c r="D193" i="5" s="1"/>
  <c r="D194" i="5" s="1"/>
  <c r="C198" i="5"/>
  <c r="F177" i="5"/>
  <c r="G177" i="5" s="1"/>
  <c r="H177" i="5" s="1"/>
  <c r="I177" i="5" s="1"/>
  <c r="J177" i="5" s="1"/>
  <c r="F166" i="5"/>
  <c r="B161" i="5"/>
  <c r="C147" i="5"/>
  <c r="C148" i="5"/>
  <c r="C136" i="5"/>
  <c r="C139" i="5"/>
  <c r="C128" i="5"/>
  <c r="F34" i="6"/>
  <c r="N23" i="6" s="1"/>
  <c r="F32" i="6"/>
  <c r="F28" i="6"/>
  <c r="F29" i="6"/>
  <c r="G18" i="6" s="1"/>
  <c r="G22" i="6" s="1"/>
  <c r="G25" i="6" s="1"/>
  <c r="F30" i="6"/>
  <c r="K30" i="6" s="1"/>
  <c r="F58" i="5" s="1"/>
  <c r="F106" i="5" s="1"/>
  <c r="F23" i="6"/>
  <c r="K23" i="6" s="1"/>
  <c r="F51" i="5" s="1"/>
  <c r="F118" i="5" s="1"/>
  <c r="F24" i="6"/>
  <c r="F18" i="6"/>
  <c r="N20" i="6" s="1"/>
  <c r="F19" i="6"/>
  <c r="K19" i="6" s="1"/>
  <c r="F47" i="5" s="1"/>
  <c r="F98" i="5" s="1"/>
  <c r="F20" i="6"/>
  <c r="K20" i="6" s="1"/>
  <c r="F48" i="5" s="1"/>
  <c r="F101" i="5" s="1"/>
  <c r="F21" i="6"/>
  <c r="K21" i="6" s="1"/>
  <c r="F49" i="5" s="1"/>
  <c r="F104" i="5" s="1"/>
  <c r="G104" i="5" s="1"/>
  <c r="H104" i="5" s="1"/>
  <c r="E41" i="6"/>
  <c r="C6" i="5"/>
  <c r="D6" i="5" s="1"/>
  <c r="B16" i="6"/>
  <c r="C15" i="5"/>
  <c r="D15" i="5" s="1"/>
  <c r="C12" i="5"/>
  <c r="C13" i="5"/>
  <c r="G155" i="5"/>
  <c r="H155" i="5" s="1"/>
  <c r="I155" i="5" s="1"/>
  <c r="J155" i="5" s="1"/>
  <c r="K155" i="5" s="1"/>
  <c r="G122" i="5"/>
  <c r="H122" i="5" s="1"/>
  <c r="I122" i="5" s="1"/>
  <c r="J122" i="5" s="1"/>
  <c r="K122" i="5" s="1"/>
  <c r="C117" i="5"/>
  <c r="G114" i="5"/>
  <c r="H114" i="5" s="1"/>
  <c r="I114" i="5" s="1"/>
  <c r="J114" i="5" s="1"/>
  <c r="K114" i="5" s="1"/>
  <c r="C107" i="5"/>
  <c r="H107" i="5" s="1"/>
  <c r="B106" i="5"/>
  <c r="B104" i="5"/>
  <c r="C102" i="5"/>
  <c r="K102" i="5" s="1"/>
  <c r="B101" i="5"/>
  <c r="C99" i="5"/>
  <c r="I99" i="5" s="1"/>
  <c r="B98" i="5"/>
  <c r="G94" i="5"/>
  <c r="H94" i="5" s="1"/>
  <c r="I94" i="5" s="1"/>
  <c r="J94" i="5" s="1"/>
  <c r="K94" i="5" s="1"/>
  <c r="F83" i="5"/>
  <c r="E83" i="5"/>
  <c r="G67" i="5"/>
  <c r="H67" i="5" s="1"/>
  <c r="I67" i="5" s="1"/>
  <c r="J67" i="5" s="1"/>
  <c r="K67" i="5" s="1"/>
  <c r="G44" i="5"/>
  <c r="H44" i="5" s="1"/>
  <c r="I44" i="5" s="1"/>
  <c r="J44" i="5" s="1"/>
  <c r="K44" i="5" s="1"/>
  <c r="C40" i="5"/>
  <c r="I40" i="5" s="1"/>
  <c r="G38" i="5"/>
  <c r="H38" i="5" s="1"/>
  <c r="I38" i="5" s="1"/>
  <c r="J38" i="5" s="1"/>
  <c r="K38" i="5" s="1"/>
  <c r="B38" i="5"/>
  <c r="B44" i="5" s="1"/>
  <c r="B67" i="5" s="1"/>
  <c r="B94" i="5" s="1"/>
  <c r="B114" i="5" s="1"/>
  <c r="B29" i="5"/>
  <c r="F27" i="5"/>
  <c r="E27" i="5"/>
  <c r="B27" i="5"/>
  <c r="F26" i="5"/>
  <c r="E26" i="5"/>
  <c r="B26" i="5"/>
  <c r="B23" i="5"/>
  <c r="B96" i="5" s="1"/>
  <c r="B22" i="5"/>
  <c r="B95" i="5" s="1"/>
  <c r="I21" i="5"/>
  <c r="J21" i="5" s="1"/>
  <c r="K21" i="5" s="1"/>
  <c r="G21" i="5"/>
  <c r="H21" i="5" s="1"/>
  <c r="C129" i="2"/>
  <c r="G131" i="2" s="1"/>
  <c r="H130" i="2"/>
  <c r="G121" i="2"/>
  <c r="H121" i="2" s="1"/>
  <c r="I121" i="2" s="1"/>
  <c r="J121" i="2" s="1"/>
  <c r="K121" i="2" s="1"/>
  <c r="B127" i="2"/>
  <c r="C108" i="2"/>
  <c r="C105" i="2"/>
  <c r="F106" i="2"/>
  <c r="G104" i="2" s="1"/>
  <c r="G103" i="2"/>
  <c r="H103" i="2" s="1"/>
  <c r="I103" i="2" s="1"/>
  <c r="J103" i="2" s="1"/>
  <c r="K103" i="2" s="1"/>
  <c r="G108" i="2" l="1"/>
  <c r="G13" i="2" s="1"/>
  <c r="N19" i="6"/>
  <c r="N21" i="6" s="1"/>
  <c r="N24" i="6" s="1"/>
  <c r="I24" i="6" s="1"/>
  <c r="I25" i="6" s="1"/>
  <c r="G105" i="2"/>
  <c r="G106" i="2"/>
  <c r="H104" i="2" s="1"/>
  <c r="G59" i="2"/>
  <c r="G62" i="2" s="1"/>
  <c r="H105" i="2"/>
  <c r="F22" i="6"/>
  <c r="F25" i="6" s="1"/>
  <c r="F31" i="6"/>
  <c r="F35" i="6" s="1"/>
  <c r="H131" i="2"/>
  <c r="I130" i="2"/>
  <c r="J130" i="2" s="1"/>
  <c r="K130" i="2" s="1"/>
  <c r="D7" i="5"/>
  <c r="K28" i="6"/>
  <c r="F56" i="5" s="1"/>
  <c r="K107" i="5"/>
  <c r="G102" i="5"/>
  <c r="H40" i="5"/>
  <c r="H102" i="5"/>
  <c r="G30" i="5"/>
  <c r="G69" i="5" s="1"/>
  <c r="K40" i="5"/>
  <c r="J102" i="5"/>
  <c r="G107" i="5"/>
  <c r="I102" i="5"/>
  <c r="I107" i="5"/>
  <c r="J107" i="5"/>
  <c r="B122" i="5"/>
  <c r="B155" i="5"/>
  <c r="I104" i="5"/>
  <c r="H49" i="5"/>
  <c r="G49" i="5"/>
  <c r="G40" i="5"/>
  <c r="J40" i="5"/>
  <c r="H99" i="5"/>
  <c r="G99" i="5"/>
  <c r="K99" i="5"/>
  <c r="J99" i="5"/>
  <c r="F109" i="5"/>
  <c r="K131" i="2"/>
  <c r="L131" i="2" s="1"/>
  <c r="J131" i="2"/>
  <c r="I131" i="2"/>
  <c r="C98" i="2"/>
  <c r="F99" i="2"/>
  <c r="G96" i="2" s="1"/>
  <c r="G95" i="2"/>
  <c r="H95" i="2" s="1"/>
  <c r="I95" i="2" s="1"/>
  <c r="J95" i="2" s="1"/>
  <c r="K95" i="2" s="1"/>
  <c r="C88" i="2"/>
  <c r="C83" i="2"/>
  <c r="C80" i="2"/>
  <c r="F85" i="2"/>
  <c r="F82" i="2"/>
  <c r="F90" i="2"/>
  <c r="B87" i="2"/>
  <c r="B85" i="2"/>
  <c r="B82" i="2"/>
  <c r="B79" i="2"/>
  <c r="G75" i="2"/>
  <c r="H75" i="2" s="1"/>
  <c r="I75" i="2" s="1"/>
  <c r="J75" i="2" s="1"/>
  <c r="K75" i="2" s="1"/>
  <c r="K80" i="2" l="1"/>
  <c r="H80" i="2"/>
  <c r="I80" i="2"/>
  <c r="J80" i="2"/>
  <c r="G80" i="2"/>
  <c r="K83" i="2"/>
  <c r="H83" i="2"/>
  <c r="I83" i="2"/>
  <c r="G83" i="2"/>
  <c r="J83" i="2"/>
  <c r="G98" i="2"/>
  <c r="H59" i="2"/>
  <c r="H62" i="2" s="1"/>
  <c r="G110" i="2"/>
  <c r="G39" i="2" s="1"/>
  <c r="I105" i="2"/>
  <c r="G88" i="2"/>
  <c r="K88" i="2"/>
  <c r="H88" i="2"/>
  <c r="J88" i="2"/>
  <c r="I88" i="2"/>
  <c r="H106" i="2"/>
  <c r="G111" i="2" s="1"/>
  <c r="G42" i="2" s="1"/>
  <c r="H108" i="2"/>
  <c r="H13" i="2" s="1"/>
  <c r="J104" i="5"/>
  <c r="I49" i="5"/>
  <c r="F68" i="2"/>
  <c r="G48" i="2"/>
  <c r="H48" i="2" s="1"/>
  <c r="I48" i="2" s="1"/>
  <c r="J48" i="2" s="1"/>
  <c r="K48" i="2" s="1"/>
  <c r="F41" i="2"/>
  <c r="F44" i="2" s="1"/>
  <c r="F32" i="2"/>
  <c r="F35" i="2" s="1"/>
  <c r="G26" i="2"/>
  <c r="H26" i="2" s="1"/>
  <c r="I26" i="2" s="1"/>
  <c r="J26" i="2" s="1"/>
  <c r="K26" i="2" s="1"/>
  <c r="C22" i="2"/>
  <c r="H22" i="2" s="1"/>
  <c r="B20" i="2"/>
  <c r="B26" i="2" s="1"/>
  <c r="B48" i="2" s="1"/>
  <c r="B75" i="2" s="1"/>
  <c r="B95" i="2" s="1"/>
  <c r="G20" i="2"/>
  <c r="H20" i="2" s="1"/>
  <c r="I20" i="2" s="1"/>
  <c r="J20" i="2" s="1"/>
  <c r="K20" i="2" s="1"/>
  <c r="E9" i="2"/>
  <c r="F8" i="2"/>
  <c r="C15" i="2"/>
  <c r="C9" i="2"/>
  <c r="C8" i="2"/>
  <c r="C7" i="2"/>
  <c r="C4" i="2"/>
  <c r="C22" i="5" s="1"/>
  <c r="F4" i="2"/>
  <c r="F9" i="2"/>
  <c r="E8" i="2"/>
  <c r="E4" i="2"/>
  <c r="E22" i="5" s="1"/>
  <c r="B4" i="2"/>
  <c r="B76" i="2" s="1"/>
  <c r="B5" i="2"/>
  <c r="B77" i="2" s="1"/>
  <c r="B8" i="2"/>
  <c r="B9" i="2"/>
  <c r="B10" i="2"/>
  <c r="E6" i="3"/>
  <c r="E9" i="3" s="1"/>
  <c r="F6" i="3"/>
  <c r="F6" i="2" s="1"/>
  <c r="F24" i="5" s="1"/>
  <c r="F3" i="3"/>
  <c r="G3" i="2"/>
  <c r="H3" i="2" s="1"/>
  <c r="I3" i="2" s="1"/>
  <c r="J3" i="2" s="1"/>
  <c r="K3" i="2" s="1"/>
  <c r="G66" i="2" l="1"/>
  <c r="G113" i="2" s="1"/>
  <c r="G115" i="2" s="1"/>
  <c r="F114" i="2"/>
  <c r="E6" i="2"/>
  <c r="E24" i="5" s="1"/>
  <c r="J105" i="2"/>
  <c r="H110" i="2"/>
  <c r="H39" i="2" s="1"/>
  <c r="I59" i="2"/>
  <c r="I62" i="2" s="1"/>
  <c r="G12" i="2"/>
  <c r="G50" i="2"/>
  <c r="C26" i="5"/>
  <c r="F76" i="2"/>
  <c r="F80" i="2" s="1"/>
  <c r="C27" i="5"/>
  <c r="I104" i="2"/>
  <c r="I108" i="2" s="1"/>
  <c r="I13" i="2" s="1"/>
  <c r="E25" i="5"/>
  <c r="J7" i="2"/>
  <c r="I7" i="2"/>
  <c r="H7" i="2"/>
  <c r="K7" i="2"/>
  <c r="G7" i="2"/>
  <c r="F22" i="5"/>
  <c r="F25" i="5" s="1"/>
  <c r="G4" i="2"/>
  <c r="G76" i="2" s="1"/>
  <c r="G79" i="2" s="1"/>
  <c r="E29" i="5"/>
  <c r="E32" i="5" s="1"/>
  <c r="E10" i="2"/>
  <c r="F77" i="2"/>
  <c r="F23" i="5"/>
  <c r="F96" i="5" s="1"/>
  <c r="F107" i="5" s="1"/>
  <c r="E95" i="5"/>
  <c r="E40" i="5"/>
  <c r="E77" i="2"/>
  <c r="E23" i="5"/>
  <c r="E96" i="5" s="1"/>
  <c r="F9" i="3"/>
  <c r="F10" i="2" s="1"/>
  <c r="B121" i="2"/>
  <c r="B103" i="2"/>
  <c r="C25" i="5"/>
  <c r="C124" i="2"/>
  <c r="C125" i="2" s="1"/>
  <c r="C33" i="5"/>
  <c r="K104" i="5"/>
  <c r="K49" i="5" s="1"/>
  <c r="J49" i="5"/>
  <c r="E22" i="2"/>
  <c r="E76" i="2"/>
  <c r="F22" i="2"/>
  <c r="F45" i="2"/>
  <c r="F7" i="2"/>
  <c r="G22" i="2"/>
  <c r="K22" i="2"/>
  <c r="J22" i="2"/>
  <c r="I22" i="2"/>
  <c r="E7" i="2"/>
  <c r="F14" i="2" l="1"/>
  <c r="C3" i="6"/>
  <c r="F11" i="2"/>
  <c r="G9" i="2"/>
  <c r="F88" i="2"/>
  <c r="F83" i="2"/>
  <c r="G8" i="2"/>
  <c r="E14" i="2"/>
  <c r="E15" i="2" s="1"/>
  <c r="E16" i="2" s="1"/>
  <c r="E49" i="2" s="1"/>
  <c r="E53" i="2" s="1"/>
  <c r="E64" i="2" s="1"/>
  <c r="E11" i="2"/>
  <c r="G29" i="2"/>
  <c r="K105" i="2"/>
  <c r="I110" i="2"/>
  <c r="I39" i="2" s="1"/>
  <c r="J59" i="2"/>
  <c r="J62" i="2" s="1"/>
  <c r="I106" i="2"/>
  <c r="H111" i="2" s="1"/>
  <c r="H42" i="2" s="1"/>
  <c r="F40" i="5"/>
  <c r="F95" i="5"/>
  <c r="F99" i="5" s="1"/>
  <c r="H4" i="2"/>
  <c r="G6" i="2"/>
  <c r="F29" i="5"/>
  <c r="K24" i="6"/>
  <c r="G25" i="5"/>
  <c r="K25" i="5"/>
  <c r="J25" i="5"/>
  <c r="I25" i="5"/>
  <c r="H25" i="5"/>
  <c r="G22" i="5"/>
  <c r="E33" i="5"/>
  <c r="E34" i="5" s="1"/>
  <c r="G125" i="2"/>
  <c r="G21" i="2"/>
  <c r="G55" i="2" s="1"/>
  <c r="G56" i="2" s="1"/>
  <c r="F9" i="6" l="1"/>
  <c r="F8" i="6"/>
  <c r="G5" i="2"/>
  <c r="G77" i="2" s="1"/>
  <c r="G10" i="2"/>
  <c r="G126" i="2"/>
  <c r="G97" i="2"/>
  <c r="G99" i="2" s="1"/>
  <c r="H76" i="2"/>
  <c r="H79" i="2" s="1"/>
  <c r="H9" i="2"/>
  <c r="H8" i="2"/>
  <c r="K59" i="2"/>
  <c r="K62" i="2" s="1"/>
  <c r="J110" i="2"/>
  <c r="J39" i="2" s="1"/>
  <c r="I4" i="2"/>
  <c r="H6" i="2"/>
  <c r="H5" i="2" s="1"/>
  <c r="H77" i="2" s="1"/>
  <c r="F102" i="5"/>
  <c r="F15" i="2"/>
  <c r="F16" i="2" s="1"/>
  <c r="F49" i="2" s="1"/>
  <c r="F53" i="2" s="1"/>
  <c r="F64" i="2" s="1"/>
  <c r="F123" i="2"/>
  <c r="F32" i="5"/>
  <c r="F33" i="5" s="1"/>
  <c r="F34" i="5" s="1"/>
  <c r="D9" i="5"/>
  <c r="G24" i="5"/>
  <c r="G23" i="5" s="1"/>
  <c r="G96" i="5" s="1"/>
  <c r="G106" i="5" s="1"/>
  <c r="G58" i="5" s="1"/>
  <c r="H22" i="5"/>
  <c r="G95" i="5"/>
  <c r="G39" i="5"/>
  <c r="G27" i="5"/>
  <c r="G26" i="5"/>
  <c r="H21" i="2"/>
  <c r="H55" i="2" s="1"/>
  <c r="H56" i="2" s="1"/>
  <c r="H96" i="2" l="1"/>
  <c r="G33" i="2"/>
  <c r="H32" i="6"/>
  <c r="E8" i="6"/>
  <c r="E9" i="6"/>
  <c r="H33" i="6"/>
  <c r="F10" i="6"/>
  <c r="H126" i="2"/>
  <c r="H97" i="2"/>
  <c r="H87" i="2"/>
  <c r="H40" i="2" s="1"/>
  <c r="H41" i="2" s="1"/>
  <c r="H82" i="2"/>
  <c r="H30" i="2" s="1"/>
  <c r="H10" i="2"/>
  <c r="H29" i="2"/>
  <c r="G14" i="2"/>
  <c r="G15" i="2" s="1"/>
  <c r="G16" i="2" s="1"/>
  <c r="G49" i="2" s="1"/>
  <c r="G11" i="2"/>
  <c r="I76" i="2"/>
  <c r="I79" i="2" s="1"/>
  <c r="I9" i="2"/>
  <c r="I8" i="2"/>
  <c r="G87" i="2"/>
  <c r="G40" i="2" s="1"/>
  <c r="G41" i="2" s="1"/>
  <c r="G82" i="2"/>
  <c r="H98" i="2"/>
  <c r="J104" i="2"/>
  <c r="J108" i="2" s="1"/>
  <c r="J13" i="2" s="1"/>
  <c r="J4" i="2"/>
  <c r="I6" i="2"/>
  <c r="D12" i="5"/>
  <c r="E12" i="5" s="1"/>
  <c r="E40" i="6" s="1"/>
  <c r="E42" i="6" s="1"/>
  <c r="D13" i="5"/>
  <c r="H24" i="5"/>
  <c r="H23" i="5" s="1"/>
  <c r="H96" i="5" s="1"/>
  <c r="H106" i="5" s="1"/>
  <c r="H58" i="5" s="1"/>
  <c r="G28" i="5"/>
  <c r="G29" i="5" s="1"/>
  <c r="G74" i="5"/>
  <c r="G75" i="5" s="1"/>
  <c r="G118" i="5"/>
  <c r="I22" i="5"/>
  <c r="G101" i="5"/>
  <c r="G48" i="5" s="1"/>
  <c r="G98" i="5"/>
  <c r="H26" i="5"/>
  <c r="H95" i="5"/>
  <c r="H27" i="5"/>
  <c r="H39" i="5"/>
  <c r="G123" i="2"/>
  <c r="G124" i="2" s="1"/>
  <c r="I21" i="2"/>
  <c r="I55" i="2" s="1"/>
  <c r="I56" i="2" s="1"/>
  <c r="H34" i="6" l="1"/>
  <c r="H35" i="6" s="1"/>
  <c r="H18" i="6" s="1"/>
  <c r="H22" i="6" s="1"/>
  <c r="H25" i="6" s="1"/>
  <c r="E10" i="6"/>
  <c r="D14" i="5"/>
  <c r="E14" i="5" s="1"/>
  <c r="H90" i="2"/>
  <c r="H99" i="2"/>
  <c r="G30" i="2"/>
  <c r="G90" i="2"/>
  <c r="G91" i="2" s="1"/>
  <c r="G51" i="2" s="1"/>
  <c r="I29" i="2"/>
  <c r="I5" i="2"/>
  <c r="I77" i="2" s="1"/>
  <c r="I10" i="2"/>
  <c r="I126" i="2"/>
  <c r="I97" i="2"/>
  <c r="J76" i="2"/>
  <c r="J79" i="2" s="1"/>
  <c r="J8" i="2"/>
  <c r="J9" i="2"/>
  <c r="H50" i="2"/>
  <c r="H12" i="2"/>
  <c r="H125" i="2" s="1"/>
  <c r="G43" i="2"/>
  <c r="G53" i="2"/>
  <c r="G64" i="2" s="1"/>
  <c r="H11" i="2"/>
  <c r="J106" i="2"/>
  <c r="I111" i="2" s="1"/>
  <c r="I42" i="2" s="1"/>
  <c r="K4" i="2"/>
  <c r="J6" i="2"/>
  <c r="H28" i="5"/>
  <c r="H29" i="5" s="1"/>
  <c r="H74" i="5"/>
  <c r="H75" i="5" s="1"/>
  <c r="J22" i="5"/>
  <c r="G51" i="5"/>
  <c r="G109" i="5"/>
  <c r="G110" i="5" s="1"/>
  <c r="G47" i="5"/>
  <c r="I26" i="5"/>
  <c r="I95" i="5"/>
  <c r="I39" i="5"/>
  <c r="I27" i="5"/>
  <c r="I24" i="5"/>
  <c r="H98" i="5"/>
  <c r="H101" i="5"/>
  <c r="H48" i="5" s="1"/>
  <c r="G127" i="2"/>
  <c r="G128" i="2" s="1"/>
  <c r="G132" i="2" s="1"/>
  <c r="H123" i="2"/>
  <c r="H124" i="2" s="1"/>
  <c r="J21" i="2"/>
  <c r="J55" i="2" s="1"/>
  <c r="J56" i="2" s="1"/>
  <c r="K22" i="5"/>
  <c r="I96" i="2" l="1"/>
  <c r="I98" i="2" s="1"/>
  <c r="H33" i="2"/>
  <c r="D16" i="5"/>
  <c r="H91" i="2"/>
  <c r="H51" i="2" s="1"/>
  <c r="H14" i="2"/>
  <c r="H15" i="2" s="1"/>
  <c r="H16" i="2" s="1"/>
  <c r="H49" i="2" s="1"/>
  <c r="I11" i="2"/>
  <c r="I99" i="2"/>
  <c r="I50" i="2"/>
  <c r="I12" i="2"/>
  <c r="I14" i="2" s="1"/>
  <c r="I15" i="2" s="1"/>
  <c r="I16" i="2" s="1"/>
  <c r="I49" i="2" s="1"/>
  <c r="K76" i="2"/>
  <c r="K79" i="2" s="1"/>
  <c r="K8" i="2"/>
  <c r="L8" i="2" s="1"/>
  <c r="K9" i="2"/>
  <c r="L9" i="2" s="1"/>
  <c r="G28" i="2"/>
  <c r="G67" i="2"/>
  <c r="G68" i="2" s="1"/>
  <c r="J29" i="2"/>
  <c r="I87" i="2"/>
  <c r="I40" i="2" s="1"/>
  <c r="I41" i="2" s="1"/>
  <c r="I82" i="2"/>
  <c r="G44" i="2"/>
  <c r="J126" i="2"/>
  <c r="J97" i="2"/>
  <c r="J5" i="2"/>
  <c r="J77" i="2" s="1"/>
  <c r="J10" i="2"/>
  <c r="K6" i="2"/>
  <c r="L6" i="2" s="1"/>
  <c r="E16" i="5"/>
  <c r="E13" i="5"/>
  <c r="G78" i="5"/>
  <c r="G81" i="5" s="1"/>
  <c r="K29" i="6"/>
  <c r="K31" i="6" s="1"/>
  <c r="H109" i="5"/>
  <c r="H110" i="5" s="1"/>
  <c r="H47" i="5"/>
  <c r="J26" i="5"/>
  <c r="J95" i="5"/>
  <c r="J27" i="5"/>
  <c r="J24" i="5"/>
  <c r="J39" i="5"/>
  <c r="K26" i="5"/>
  <c r="L26" i="5" s="1"/>
  <c r="K27" i="5"/>
  <c r="L27" i="5" s="1"/>
  <c r="L22" i="5"/>
  <c r="K24" i="5"/>
  <c r="K39" i="5"/>
  <c r="K95" i="5"/>
  <c r="I23" i="5"/>
  <c r="I74" i="5"/>
  <c r="I75" i="5" s="1"/>
  <c r="G70" i="5"/>
  <c r="I98" i="5"/>
  <c r="I101" i="5"/>
  <c r="I48" i="5" s="1"/>
  <c r="H30" i="5"/>
  <c r="I123" i="2"/>
  <c r="I124" i="2" s="1"/>
  <c r="H127" i="2"/>
  <c r="H128" i="2" s="1"/>
  <c r="H132" i="2" s="1"/>
  <c r="I125" i="2"/>
  <c r="L4" i="2"/>
  <c r="K21" i="2"/>
  <c r="K55" i="2" s="1"/>
  <c r="K56" i="2" s="1"/>
  <c r="J96" i="2" l="1"/>
  <c r="I33" i="2"/>
  <c r="H53" i="2"/>
  <c r="H64" i="2" s="1"/>
  <c r="H67" i="2" s="1"/>
  <c r="H66" i="2"/>
  <c r="H113" i="2" s="1"/>
  <c r="H115" i="2" s="1"/>
  <c r="G114" i="2"/>
  <c r="G116" i="2" s="1"/>
  <c r="G118" i="2" s="1"/>
  <c r="H43" i="2"/>
  <c r="I43" i="2" s="1"/>
  <c r="I44" i="2" s="1"/>
  <c r="J82" i="2"/>
  <c r="J87" i="2"/>
  <c r="J40" i="2" s="1"/>
  <c r="J41" i="2" s="1"/>
  <c r="J98" i="2"/>
  <c r="K126" i="2"/>
  <c r="K97" i="2"/>
  <c r="I30" i="2"/>
  <c r="I90" i="2"/>
  <c r="I91" i="2" s="1"/>
  <c r="I51" i="2" s="1"/>
  <c r="I53" i="2" s="1"/>
  <c r="I64" i="2" s="1"/>
  <c r="I67" i="2" s="1"/>
  <c r="K29" i="2"/>
  <c r="K5" i="2"/>
  <c r="K77" i="2" s="1"/>
  <c r="K10" i="2"/>
  <c r="K11" i="2" s="1"/>
  <c r="G32" i="2"/>
  <c r="G35" i="2" s="1"/>
  <c r="G45" i="2" s="1"/>
  <c r="H28" i="2"/>
  <c r="J11" i="2"/>
  <c r="K104" i="2"/>
  <c r="K108" i="2" s="1"/>
  <c r="K13" i="2" s="1"/>
  <c r="G57" i="5"/>
  <c r="H78" i="5"/>
  <c r="H81" i="5" s="1"/>
  <c r="F57" i="5"/>
  <c r="K33" i="6"/>
  <c r="F61" i="5" s="1"/>
  <c r="K32" i="6"/>
  <c r="F60" i="5" s="1"/>
  <c r="K34" i="6"/>
  <c r="F62" i="5" s="1"/>
  <c r="I96" i="5"/>
  <c r="I106" i="5" s="1"/>
  <c r="I58" i="5" s="1"/>
  <c r="I28" i="5"/>
  <c r="I29" i="5" s="1"/>
  <c r="G59" i="5"/>
  <c r="J23" i="5"/>
  <c r="K74" i="5"/>
  <c r="K75" i="5" s="1"/>
  <c r="L39" i="5"/>
  <c r="J101" i="5"/>
  <c r="J48" i="5" s="1"/>
  <c r="J98" i="5"/>
  <c r="H118" i="5"/>
  <c r="L24" i="5"/>
  <c r="K23" i="5"/>
  <c r="K28" i="5" s="1"/>
  <c r="K29" i="5" s="1"/>
  <c r="K98" i="5"/>
  <c r="K47" i="5" s="1"/>
  <c r="K101" i="5"/>
  <c r="K48" i="5" s="1"/>
  <c r="H69" i="5"/>
  <c r="I47" i="5"/>
  <c r="J74" i="5"/>
  <c r="J75" i="5" s="1"/>
  <c r="H70" i="5"/>
  <c r="J123" i="2"/>
  <c r="J124" i="2" s="1"/>
  <c r="L21" i="2"/>
  <c r="K35" i="6" l="1"/>
  <c r="H68" i="2"/>
  <c r="K123" i="2"/>
  <c r="K124" i="2" s="1"/>
  <c r="H44" i="2"/>
  <c r="I127" i="2"/>
  <c r="I128" i="2" s="1"/>
  <c r="I132" i="2" s="1"/>
  <c r="I28" i="2"/>
  <c r="H32" i="2"/>
  <c r="H35" i="2" s="1"/>
  <c r="K87" i="2"/>
  <c r="K40" i="2" s="1"/>
  <c r="K41" i="2" s="1"/>
  <c r="K82" i="2"/>
  <c r="J99" i="2"/>
  <c r="J50" i="2"/>
  <c r="J12" i="2"/>
  <c r="J30" i="2"/>
  <c r="J90" i="2"/>
  <c r="J91" i="2" s="1"/>
  <c r="J51" i="2" s="1"/>
  <c r="K106" i="2"/>
  <c r="J111" i="2" s="1"/>
  <c r="J42" i="2" s="1"/>
  <c r="K18" i="6"/>
  <c r="K22" i="6" s="1"/>
  <c r="K25" i="6" s="1"/>
  <c r="F137" i="5"/>
  <c r="I78" i="5"/>
  <c r="I81" i="5" s="1"/>
  <c r="H57" i="5"/>
  <c r="H59" i="5" s="1"/>
  <c r="F126" i="5"/>
  <c r="F59" i="5"/>
  <c r="F63" i="5" s="1"/>
  <c r="I109" i="5"/>
  <c r="I110" i="5" s="1"/>
  <c r="I70" i="5" s="1"/>
  <c r="J96" i="5"/>
  <c r="J106" i="5" s="1"/>
  <c r="J58" i="5" s="1"/>
  <c r="J28" i="5"/>
  <c r="J29" i="5" s="1"/>
  <c r="L29" i="5"/>
  <c r="L23" i="5"/>
  <c r="K96" i="5"/>
  <c r="K106" i="5" s="1"/>
  <c r="J47" i="5"/>
  <c r="H51" i="5"/>
  <c r="L10" i="2"/>
  <c r="L5" i="2"/>
  <c r="K96" i="2" l="1"/>
  <c r="J33" i="2"/>
  <c r="I66" i="2"/>
  <c r="H114" i="2"/>
  <c r="H116" i="2" s="1"/>
  <c r="H118" i="2" s="1"/>
  <c r="H45" i="2"/>
  <c r="J127" i="2"/>
  <c r="K30" i="2"/>
  <c r="K90" i="2"/>
  <c r="K91" i="2" s="1"/>
  <c r="K51" i="2" s="1"/>
  <c r="J14" i="2"/>
  <c r="J15" i="2" s="1"/>
  <c r="J16" i="2" s="1"/>
  <c r="J49" i="2" s="1"/>
  <c r="J125" i="2"/>
  <c r="J128" i="2" s="1"/>
  <c r="J132" i="2" s="1"/>
  <c r="K98" i="2"/>
  <c r="I32" i="2"/>
  <c r="I35" i="2" s="1"/>
  <c r="I45" i="2" s="1"/>
  <c r="J78" i="5"/>
  <c r="J81" i="5" s="1"/>
  <c r="I57" i="5"/>
  <c r="I59" i="5" s="1"/>
  <c r="G71" i="5"/>
  <c r="F46" i="5"/>
  <c r="K37" i="6"/>
  <c r="J196" i="5"/>
  <c r="J109" i="5"/>
  <c r="J110" i="5" s="1"/>
  <c r="J70" i="5" s="1"/>
  <c r="I30" i="5"/>
  <c r="K58" i="5"/>
  <c r="K109" i="5"/>
  <c r="I113" i="2" l="1"/>
  <c r="I115" i="2" s="1"/>
  <c r="I68" i="2"/>
  <c r="K99" i="2"/>
  <c r="K33" i="2" s="1"/>
  <c r="K12" i="2"/>
  <c r="K50" i="2"/>
  <c r="J53" i="2"/>
  <c r="J64" i="2" s="1"/>
  <c r="J43" i="2"/>
  <c r="F163" i="5"/>
  <c r="F87" i="5"/>
  <c r="G85" i="5" s="1"/>
  <c r="F50" i="5"/>
  <c r="F53" i="5" s="1"/>
  <c r="F64" i="5" s="1"/>
  <c r="L125" i="5"/>
  <c r="K57" i="5" s="1"/>
  <c r="K59" i="5" s="1"/>
  <c r="K78" i="5"/>
  <c r="K81" i="5" s="1"/>
  <c r="J57" i="5"/>
  <c r="J59" i="5" s="1"/>
  <c r="G60" i="5"/>
  <c r="E196" i="5"/>
  <c r="H196" i="5"/>
  <c r="F196" i="5"/>
  <c r="G196" i="5"/>
  <c r="I196" i="5"/>
  <c r="K110" i="5"/>
  <c r="K70" i="5" s="1"/>
  <c r="I118" i="5"/>
  <c r="I51" i="5" s="1"/>
  <c r="I69" i="5"/>
  <c r="K127" i="2"/>
  <c r="J66" i="2" l="1"/>
  <c r="J113" i="2" s="1"/>
  <c r="J115" i="2" s="1"/>
  <c r="I114" i="2"/>
  <c r="I116" i="2" s="1"/>
  <c r="I118" i="2" s="1"/>
  <c r="K125" i="2"/>
  <c r="K14" i="2"/>
  <c r="K128" i="2"/>
  <c r="L128" i="2" s="1"/>
  <c r="L129" i="2" s="1"/>
  <c r="L132" i="2" s="1"/>
  <c r="J44" i="2"/>
  <c r="J67" i="2"/>
  <c r="J28" i="2"/>
  <c r="G61" i="5"/>
  <c r="J30" i="5"/>
  <c r="J68" i="2" l="1"/>
  <c r="J114" i="2" s="1"/>
  <c r="J116" i="2" s="1"/>
  <c r="J118" i="2" s="1"/>
  <c r="K132" i="2"/>
  <c r="C132" i="2" s="1"/>
  <c r="C134" i="2" s="1"/>
  <c r="J32" i="2"/>
  <c r="J35" i="2" s="1"/>
  <c r="J45" i="2" s="1"/>
  <c r="K15" i="2"/>
  <c r="K16" i="2" s="1"/>
  <c r="L14" i="2"/>
  <c r="H60" i="5"/>
  <c r="H71" i="5"/>
  <c r="G31" i="5"/>
  <c r="G32" i="5" s="1"/>
  <c r="G33" i="5" s="1"/>
  <c r="G34" i="5" s="1"/>
  <c r="J118" i="5"/>
  <c r="J69" i="5"/>
  <c r="K66" i="2" l="1"/>
  <c r="K113" i="2" s="1"/>
  <c r="K115" i="2" s="1"/>
  <c r="K49" i="2"/>
  <c r="L16" i="2"/>
  <c r="G62" i="5"/>
  <c r="G68" i="5"/>
  <c r="G72" i="5" s="1"/>
  <c r="G83" i="5" s="1"/>
  <c r="G86" i="5" s="1"/>
  <c r="G87" i="5" s="1"/>
  <c r="H61" i="5"/>
  <c r="J51" i="5"/>
  <c r="K30" i="5"/>
  <c r="K53" i="2" l="1"/>
  <c r="K64" i="2" s="1"/>
  <c r="K43" i="2"/>
  <c r="K44" i="2" s="1"/>
  <c r="H85" i="5"/>
  <c r="G46" i="5"/>
  <c r="I60" i="5"/>
  <c r="G63" i="5"/>
  <c r="K118" i="5"/>
  <c r="K51" i="5" s="1"/>
  <c r="K69" i="5"/>
  <c r="K67" i="2" l="1"/>
  <c r="K68" i="2" s="1"/>
  <c r="K114" i="2" s="1"/>
  <c r="K116" i="2" s="1"/>
  <c r="K118" i="2" s="1"/>
  <c r="K28" i="2"/>
  <c r="K32" i="2" s="1"/>
  <c r="K35" i="2" s="1"/>
  <c r="G163" i="5"/>
  <c r="G50" i="5"/>
  <c r="G53" i="5" s="1"/>
  <c r="G64" i="5" s="1"/>
  <c r="K45" i="2" l="1"/>
  <c r="I71" i="5"/>
  <c r="H31" i="5"/>
  <c r="H32" i="5" s="1"/>
  <c r="H33" i="5" s="1"/>
  <c r="H34" i="5" s="1"/>
  <c r="J60" i="5"/>
  <c r="H68" i="5" l="1"/>
  <c r="H72" i="5" s="1"/>
  <c r="H83" i="5" s="1"/>
  <c r="H86" i="5" s="1"/>
  <c r="H87" i="5" s="1"/>
  <c r="H62" i="5"/>
  <c r="I61" i="5"/>
  <c r="K60" i="5"/>
  <c r="H63" i="5" l="1"/>
  <c r="H46" i="5"/>
  <c r="I85" i="5"/>
  <c r="H163" i="5" l="1"/>
  <c r="H50" i="5"/>
  <c r="H53" i="5" s="1"/>
  <c r="H64" i="5" s="1"/>
  <c r="I31" i="5" l="1"/>
  <c r="I32" i="5" s="1"/>
  <c r="I33" i="5" s="1"/>
  <c r="I34" i="5" s="1"/>
  <c r="I68" i="5" s="1"/>
  <c r="I72" i="5" s="1"/>
  <c r="I83" i="5" s="1"/>
  <c r="I86" i="5" s="1"/>
  <c r="I87" i="5" s="1"/>
  <c r="J71" i="5"/>
  <c r="I62" i="5" l="1"/>
  <c r="I63" i="5" s="1"/>
  <c r="J61" i="5"/>
  <c r="J85" i="5"/>
  <c r="I46" i="5"/>
  <c r="I163" i="5" l="1"/>
  <c r="I50" i="5"/>
  <c r="I53" i="5" s="1"/>
  <c r="I64" i="5" s="1"/>
  <c r="J31" i="5" l="1"/>
  <c r="J32" i="5" s="1"/>
  <c r="J33" i="5" s="1"/>
  <c r="J34" i="5" s="1"/>
  <c r="K71" i="5" l="1"/>
  <c r="K61" i="5"/>
  <c r="J68" i="5"/>
  <c r="J72" i="5" s="1"/>
  <c r="J83" i="5" s="1"/>
  <c r="J86" i="5" s="1"/>
  <c r="J87" i="5" s="1"/>
  <c r="J62" i="5"/>
  <c r="J63" i="5" l="1"/>
  <c r="K85" i="5"/>
  <c r="J46" i="5"/>
  <c r="J163" i="5" l="1"/>
  <c r="F167" i="5" s="1"/>
  <c r="F169" i="5" s="1"/>
  <c r="D177" i="5" s="1"/>
  <c r="J50" i="5"/>
  <c r="J53" i="5" s="1"/>
  <c r="J64" i="5" s="1"/>
  <c r="K31" i="5"/>
  <c r="K32" i="5" s="1"/>
  <c r="J198" i="5" l="1"/>
  <c r="G198" i="5"/>
  <c r="I198" i="5"/>
  <c r="E198" i="5"/>
  <c r="F198" i="5"/>
  <c r="H198" i="5"/>
  <c r="K33" i="5"/>
  <c r="K34" i="5" s="1"/>
  <c r="L32" i="5"/>
  <c r="K68" i="5" l="1"/>
  <c r="K72" i="5" s="1"/>
  <c r="K83" i="5" s="1"/>
  <c r="K86" i="5" s="1"/>
  <c r="K87" i="5" s="1"/>
  <c r="K46" i="5" s="1"/>
  <c r="L34" i="5"/>
  <c r="K62" i="5"/>
  <c r="K63" i="5" s="1"/>
  <c r="K163" i="5" l="1"/>
  <c r="K50" i="5"/>
  <c r="K53" i="5" s="1"/>
  <c r="K64" i="5" s="1"/>
</calcChain>
</file>

<file path=xl/comments1.xml><?xml version="1.0" encoding="utf-8"?>
<comments xmlns="http://schemas.openxmlformats.org/spreadsheetml/2006/main">
  <authors>
    <author>Renaud, Nicolas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Renaud, Nicolas:</t>
        </r>
        <r>
          <rPr>
            <sz val="9"/>
            <color indexed="81"/>
            <rFont val="Tahoma"/>
            <family val="2"/>
          </rPr>
          <t xml:space="preserve">
although an imput needs to be in the same sheet for sensitivity purposes
doesn’t affect valuation anyway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Renaud, Nicolas:</t>
        </r>
        <r>
          <rPr>
            <sz val="9"/>
            <color indexed="81"/>
            <rFont val="Tahoma"/>
            <family val="2"/>
          </rPr>
          <t xml:space="preserve">
indicative</t>
        </r>
      </text>
    </comment>
  </commentList>
</comments>
</file>

<file path=xl/sharedStrings.xml><?xml version="1.0" encoding="utf-8"?>
<sst xmlns="http://schemas.openxmlformats.org/spreadsheetml/2006/main" count="302" uniqueCount="186">
  <si>
    <t>Sales</t>
  </si>
  <si>
    <t>Summary P&amp;L</t>
  </si>
  <si>
    <t>COGS</t>
  </si>
  <si>
    <t>Gross Margin</t>
  </si>
  <si>
    <t>S&amp;M</t>
  </si>
  <si>
    <t>Opex</t>
  </si>
  <si>
    <t>EBITDA</t>
  </si>
  <si>
    <t>D&amp;A</t>
  </si>
  <si>
    <t>Interest</t>
  </si>
  <si>
    <t>Tax</t>
  </si>
  <si>
    <t>CAGR</t>
  </si>
  <si>
    <t>P&amp;L</t>
  </si>
  <si>
    <t>Sales CAGR</t>
  </si>
  <si>
    <t>Gross Profit</t>
  </si>
  <si>
    <t>S&amp;M as % of Sales</t>
  </si>
  <si>
    <t>Profit before Tax</t>
  </si>
  <si>
    <t>Net income</t>
  </si>
  <si>
    <t>Tax Rate</t>
  </si>
  <si>
    <t>CAPEX</t>
  </si>
  <si>
    <t>Capex</t>
  </si>
  <si>
    <t>C$ - MM</t>
  </si>
  <si>
    <t>Capex as a % of Sales</t>
  </si>
  <si>
    <t>capex as a % of sales</t>
  </si>
  <si>
    <t>Balance Sheet</t>
  </si>
  <si>
    <t>Cash</t>
  </si>
  <si>
    <t>Receivables</t>
  </si>
  <si>
    <t xml:space="preserve">Inventory </t>
  </si>
  <si>
    <t>prepaids</t>
  </si>
  <si>
    <t>Short Term Assets</t>
  </si>
  <si>
    <t>PP&amp;E</t>
  </si>
  <si>
    <t>Goodwill and intangibles</t>
  </si>
  <si>
    <t>Total Assets</t>
  </si>
  <si>
    <t>Assets</t>
  </si>
  <si>
    <t>Liabilities</t>
  </si>
  <si>
    <t>Revolver</t>
  </si>
  <si>
    <t>Short term debt</t>
  </si>
  <si>
    <t>Payables</t>
  </si>
  <si>
    <t>Short term Liabilities</t>
  </si>
  <si>
    <t>longterm debt</t>
  </si>
  <si>
    <t>Equity</t>
  </si>
  <si>
    <t>Total Liabilities</t>
  </si>
  <si>
    <t>Check</t>
  </si>
  <si>
    <t>Cash flow statement</t>
  </si>
  <si>
    <t>net income</t>
  </si>
  <si>
    <t>non cash items</t>
  </si>
  <si>
    <t>Cash flow from operations</t>
  </si>
  <si>
    <t>investments</t>
  </si>
  <si>
    <t>Cash from investments</t>
  </si>
  <si>
    <t>Debt repaid</t>
  </si>
  <si>
    <t>Equity issued</t>
  </si>
  <si>
    <t>Cash flow from financing</t>
  </si>
  <si>
    <t>Dividends</t>
  </si>
  <si>
    <t>Debt issued</t>
  </si>
  <si>
    <t>Total cash flow</t>
  </si>
  <si>
    <t>BoP cash</t>
  </si>
  <si>
    <t>Change</t>
  </si>
  <si>
    <t>EoP cash</t>
  </si>
  <si>
    <t>Schedules</t>
  </si>
  <si>
    <t>Working Capital</t>
  </si>
  <si>
    <t>Opex as a % of Sales</t>
  </si>
  <si>
    <t>WORKING CAPITAL</t>
  </si>
  <si>
    <t>Payables (Days of COGS)</t>
  </si>
  <si>
    <t>Receivables (DSO)</t>
  </si>
  <si>
    <t xml:space="preserve">DSO </t>
  </si>
  <si>
    <t>Days of COGS</t>
  </si>
  <si>
    <t>Change in WC</t>
  </si>
  <si>
    <t>PP&amp;E SCHEDULE</t>
  </si>
  <si>
    <t>BoP PP&amp;E</t>
  </si>
  <si>
    <t>EoP PP&amp;E</t>
  </si>
  <si>
    <t>D&amp;A as a % of PP&amp;E</t>
  </si>
  <si>
    <t>Debt Schedule</t>
  </si>
  <si>
    <t>BoP Debt</t>
  </si>
  <si>
    <t>EoP Debt</t>
  </si>
  <si>
    <t>Short term Portion</t>
  </si>
  <si>
    <t>Long Term Portion</t>
  </si>
  <si>
    <t>Debt</t>
  </si>
  <si>
    <t>Term</t>
  </si>
  <si>
    <t>Armortisation (years)</t>
  </si>
  <si>
    <t>Debt Repaid</t>
  </si>
  <si>
    <t>DCF</t>
  </si>
  <si>
    <t>Free cash flow</t>
  </si>
  <si>
    <t>(1-t) * EBITDA</t>
  </si>
  <si>
    <t>t* D&amp;A</t>
  </si>
  <si>
    <t>DCF Addumptions</t>
  </si>
  <si>
    <t>WACC</t>
  </si>
  <si>
    <t>Terminal Growth Rate</t>
  </si>
  <si>
    <t>Terminal value</t>
  </si>
  <si>
    <t>wacc</t>
  </si>
  <si>
    <t>Terminal growth</t>
  </si>
  <si>
    <t>Discount factor (year)</t>
  </si>
  <si>
    <t>Actualised FCF</t>
  </si>
  <si>
    <t>LBO Assumptions</t>
  </si>
  <si>
    <t>Sources</t>
  </si>
  <si>
    <t>Senior Debt</t>
  </si>
  <si>
    <t>Sub Debt</t>
  </si>
  <si>
    <t>Senior Debt (xLTM EBITDA)</t>
  </si>
  <si>
    <t>Sub Debt (xLTM EBITDA)</t>
  </si>
  <si>
    <t>Senior Interest</t>
  </si>
  <si>
    <t>Sub Debt Interest</t>
  </si>
  <si>
    <t>PIK (1=yes)</t>
  </si>
  <si>
    <t>Max Total Debt / EV</t>
  </si>
  <si>
    <t>Investment period (Years)</t>
  </si>
  <si>
    <t>Sources and Uses</t>
  </si>
  <si>
    <t>Transaction Price</t>
  </si>
  <si>
    <t>LTM EBITDA</t>
  </si>
  <si>
    <t>Max Senior</t>
  </si>
  <si>
    <t>max Sub</t>
  </si>
  <si>
    <t>Max Total Debt</t>
  </si>
  <si>
    <t>Total Debt</t>
  </si>
  <si>
    <t>Financing</t>
  </si>
  <si>
    <t>Max</t>
  </si>
  <si>
    <t>Actual</t>
  </si>
  <si>
    <t>Implied Equity</t>
  </si>
  <si>
    <t>Senior</t>
  </si>
  <si>
    <t>Sub</t>
  </si>
  <si>
    <t xml:space="preserve">At transaction </t>
  </si>
  <si>
    <t xml:space="preserve">Repayment of debt </t>
  </si>
  <si>
    <t>Uses</t>
  </si>
  <si>
    <t>Transaction Cost</t>
  </si>
  <si>
    <t>Transaction Costs</t>
  </si>
  <si>
    <t>Return Threshold</t>
  </si>
  <si>
    <t>Total</t>
  </si>
  <si>
    <t>Issue Equity</t>
  </si>
  <si>
    <t>Senior Term (years)</t>
  </si>
  <si>
    <t xml:space="preserve">Short term portiion Calculation </t>
  </si>
  <si>
    <t>Yearly Payments</t>
  </si>
  <si>
    <t>Payment</t>
  </si>
  <si>
    <t xml:space="preserve">Post Transaction </t>
  </si>
  <si>
    <t>Subordinated Debt</t>
  </si>
  <si>
    <t>SENIOR</t>
  </si>
  <si>
    <t>SUB</t>
  </si>
  <si>
    <t>o/w PIK Interest</t>
  </si>
  <si>
    <t>Total Interest</t>
  </si>
  <si>
    <t>Overdraft</t>
  </si>
  <si>
    <t>Positive</t>
  </si>
  <si>
    <t>Cash Balance</t>
  </si>
  <si>
    <t>Interest on Positive balance</t>
  </si>
  <si>
    <t>Interest on Overdraft</t>
  </si>
  <si>
    <t>non cash items (capitalised Interests)</t>
  </si>
  <si>
    <t>EV Calculation</t>
  </si>
  <si>
    <t>Entry multiple</t>
  </si>
  <si>
    <t>Implied EV</t>
  </si>
  <si>
    <t>+Cash</t>
  </si>
  <si>
    <t>-Sub</t>
  </si>
  <si>
    <t>Implied Equity Value</t>
  </si>
  <si>
    <t>Initial Investment</t>
  </si>
  <si>
    <t>Years</t>
  </si>
  <si>
    <t>Investment Value at Exit</t>
  </si>
  <si>
    <t>Implied IRR</t>
  </si>
  <si>
    <t>Sensitivity</t>
  </si>
  <si>
    <t>Sensitivity Table</t>
  </si>
  <si>
    <t>Plan Achieved</t>
  </si>
  <si>
    <t>Valuation</t>
  </si>
  <si>
    <t>Band Assuming Returns</t>
  </si>
  <si>
    <t>Implied EBITDA at exit</t>
  </si>
  <si>
    <t>Assumption</t>
  </si>
  <si>
    <t>convention' % are in italic</t>
  </si>
  <si>
    <t>EBTDA Margin</t>
  </si>
  <si>
    <t>everything done in schedules; typically link at the end after doing schedules</t>
  </si>
  <si>
    <t>DSO  (Days of sales)</t>
  </si>
  <si>
    <t>how many days of sales outstanding, how much receivables.</t>
  </si>
  <si>
    <t>Days of cogs</t>
  </si>
  <si>
    <t>could be done in days of sales outstanding (DSO). But inventory recorded at costs, therefor more closly realted to DCOGS</t>
  </si>
  <si>
    <t>rare-intensively heavy inventory (retail 30 days, importer 90 days). This much, sesonal, or wine since gains value as it ages</t>
  </si>
  <si>
    <t>Inventory (Days of COGS)</t>
  </si>
  <si>
    <t>inventory+receivables-payables+prepaids</t>
  </si>
  <si>
    <t>Cash BOP</t>
  </si>
  <si>
    <t>Cash EOP</t>
  </si>
  <si>
    <t>Interest (Cash)</t>
  </si>
  <si>
    <t>Interest (Revolver)</t>
  </si>
  <si>
    <t>OK</t>
  </si>
  <si>
    <t>Take EoP, not BoP</t>
  </si>
  <si>
    <t>WRONG (4.6,2.8,3.2,etc…)</t>
  </si>
  <si>
    <t>Change inventory days of cogs to 60, value x3!</t>
  </si>
  <si>
    <t>almost, except debt is heavier</t>
  </si>
  <si>
    <t>LBO model, what would be return if bought company at a certain price (IRR)</t>
  </si>
  <si>
    <t>Assume youre selling it for same EBTDA multiple on exit</t>
  </si>
  <si>
    <t>RBTDA</t>
  </si>
  <si>
    <t>Need to finance an additional 29.4</t>
  </si>
  <si>
    <t>typically limit at 40%</t>
  </si>
  <si>
    <t>Enterprise Value</t>
  </si>
  <si>
    <t>Less Ex debt</t>
  </si>
  <si>
    <t>Plus Cash</t>
  </si>
  <si>
    <t>Equity Value</t>
  </si>
  <si>
    <t>Book Value</t>
  </si>
  <si>
    <t>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</si>
</sst>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0\A"/>
    <numFmt numFmtId="165" formatCode="0&quot;E&quot;"/>
    <numFmt numFmtId="166" formatCode="0.0"/>
    <numFmt numFmtId="167" formatCode="0.0;\(0.0\);\-"/>
    <numFmt numFmtId="168" formatCode="0.0%"/>
    <numFmt numFmtId="169" formatCode="#,##0\ ;\(#,##0\)\ ;\-"/>
    <numFmt numFmtId="170" formatCode="#,##0%\ ;\(#,##0%\)\ ;\-"/>
    <numFmt numFmtId="171" formatCode="#,##0.0%\ ;\(#,##0.0%\)\ ;\-"/>
    <numFmt numFmtId="172" formatCode="#,##0.0\ ;\(#,##0.0\)\ ;\-"/>
    <numFmt numFmtId="173" formatCode="#,##0.0"/>
    <numFmt numFmtId="174" formatCode="#,##0.00\ ;\(#,##0.00\)\ ;\-"/>
    <numFmt numFmtId="175" formatCode="#,##0.0\x\ ;\(#,##0.0\x\)\ ;\-"/>
    <numFmt numFmtId="176" formatCode="#,##0.00\x\ ;\(#,##0.00\x\)\ ;\-"/>
    <numFmt numFmtId="177" formatCode="0.0_);\(0.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9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0"/>
      <name val="Franklin Gothic Demi"/>
      <family val="2"/>
    </font>
    <font>
      <b/>
      <sz val="12"/>
      <color theme="0"/>
      <name val="Franklin Gothic Demi"/>
      <family val="2"/>
    </font>
    <font>
      <sz val="11"/>
      <color rgb="FF0000CC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2" tint="-0.249977111117893"/>
      <name val="Calibri"/>
      <family val="2"/>
      <scheme val="minor"/>
    </font>
    <font>
      <b/>
      <sz val="11"/>
      <color theme="2" tint="-0.249977111117893"/>
      <name val="Calibri"/>
      <family val="2"/>
      <scheme val="minor"/>
    </font>
    <font>
      <b/>
      <sz val="13"/>
      <color theme="2" tint="-0.249977111117893"/>
      <name val="Franklin Gothic Demi"/>
      <family val="2"/>
    </font>
    <font>
      <b/>
      <sz val="11"/>
      <color theme="9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9.9795525986510827E-3"/>
        <bgColor indexed="64" tint="9.9795525986510827E-3"/>
      </patternFill>
    </fill>
    <fill>
      <patternFill patternType="solid">
        <fgColor theme="2" tint="9.9795525986510827E-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7">
    <xf numFmtId="0" fontId="0" fillId="0" borderId="0" xfId="0"/>
    <xf numFmtId="164" fontId="0" fillId="0" borderId="0" xfId="0" applyNumberFormat="1"/>
    <xf numFmtId="0" fontId="2" fillId="2" borderId="0" xfId="0" applyFont="1" applyFill="1" applyAlignment="1">
      <alignment horizontal="centerContinuous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166" fontId="0" fillId="0" borderId="0" xfId="0" applyNumberFormat="1"/>
    <xf numFmtId="166" fontId="4" fillId="0" borderId="0" xfId="0" applyNumberFormat="1" applyFont="1"/>
    <xf numFmtId="167" fontId="0" fillId="0" borderId="0" xfId="0" applyNumberFormat="1"/>
    <xf numFmtId="167" fontId="3" fillId="0" borderId="0" xfId="0" applyNumberFormat="1" applyFont="1"/>
    <xf numFmtId="0" fontId="0" fillId="0" borderId="1" xfId="0" applyBorder="1"/>
    <xf numFmtId="167" fontId="0" fillId="0" borderId="1" xfId="0" applyNumberFormat="1" applyBorder="1"/>
    <xf numFmtId="0" fontId="3" fillId="0" borderId="2" xfId="0" applyFont="1" applyBorder="1"/>
    <xf numFmtId="167" fontId="3" fillId="0" borderId="2" xfId="0" applyNumberFormat="1" applyFont="1" applyBorder="1"/>
    <xf numFmtId="166" fontId="3" fillId="0" borderId="0" xfId="0" applyNumberFormat="1" applyFont="1"/>
    <xf numFmtId="9" fontId="5" fillId="0" borderId="0" xfId="0" applyNumberFormat="1" applyFont="1"/>
    <xf numFmtId="0" fontId="6" fillId="0" borderId="0" xfId="0" applyFont="1"/>
    <xf numFmtId="168" fontId="6" fillId="0" borderId="0" xfId="0" applyNumberFormat="1" applyFont="1"/>
    <xf numFmtId="9" fontId="7" fillId="0" borderId="0" xfId="0" applyNumberFormat="1" applyFont="1"/>
    <xf numFmtId="0" fontId="0" fillId="0" borderId="3" xfId="0" applyBorder="1"/>
    <xf numFmtId="9" fontId="5" fillId="0" borderId="3" xfId="0" applyNumberFormat="1" applyFont="1" applyBorder="1"/>
    <xf numFmtId="166" fontId="0" fillId="0" borderId="3" xfId="0" applyNumberFormat="1" applyBorder="1"/>
    <xf numFmtId="0" fontId="8" fillId="0" borderId="1" xfId="0" applyFont="1" applyBorder="1"/>
    <xf numFmtId="168" fontId="5" fillId="0" borderId="0" xfId="1" applyNumberFormat="1" applyFont="1"/>
    <xf numFmtId="0" fontId="3" fillId="0" borderId="0" xfId="0" applyFont="1" applyBorder="1"/>
    <xf numFmtId="164" fontId="3" fillId="0" borderId="0" xfId="0" applyNumberFormat="1" applyFont="1" applyBorder="1"/>
    <xf numFmtId="165" fontId="3" fillId="0" borderId="0" xfId="0" applyNumberFormat="1" applyFont="1" applyBorder="1"/>
    <xf numFmtId="0" fontId="3" fillId="0" borderId="4" xfId="0" applyFont="1" applyBorder="1"/>
    <xf numFmtId="166" fontId="0" fillId="0" borderId="1" xfId="0" applyNumberFormat="1" applyBorder="1"/>
    <xf numFmtId="166" fontId="8" fillId="0" borderId="0" xfId="0" applyNumberFormat="1" applyFont="1"/>
    <xf numFmtId="166" fontId="3" fillId="0" borderId="2" xfId="0" applyNumberFormat="1" applyFont="1" applyBorder="1"/>
    <xf numFmtId="166" fontId="3" fillId="0" borderId="4" xfId="0" applyNumberFormat="1" applyFont="1" applyBorder="1"/>
    <xf numFmtId="169" fontId="0" fillId="0" borderId="0" xfId="0" applyNumberFormat="1"/>
    <xf numFmtId="0" fontId="9" fillId="5" borderId="2" xfId="0" applyFont="1" applyFill="1" applyBorder="1"/>
    <xf numFmtId="167" fontId="9" fillId="5" borderId="2" xfId="0" applyNumberFormat="1" applyFont="1" applyFill="1" applyBorder="1"/>
    <xf numFmtId="171" fontId="6" fillId="0" borderId="0" xfId="0" applyNumberFormat="1" applyFont="1"/>
    <xf numFmtId="0" fontId="9" fillId="4" borderId="0" xfId="0" applyFont="1" applyFill="1" applyAlignment="1">
      <alignment horizontal="centerContinuous"/>
    </xf>
    <xf numFmtId="172" fontId="0" fillId="0" borderId="0" xfId="0" applyNumberFormat="1"/>
    <xf numFmtId="0" fontId="10" fillId="3" borderId="0" xfId="0" applyFont="1" applyFill="1" applyBorder="1" applyAlignment="1">
      <alignment horizontal="centerContinuous" vertical="center"/>
    </xf>
    <xf numFmtId="0" fontId="11" fillId="3" borderId="0" xfId="0" applyFont="1" applyFill="1" applyBorder="1" applyAlignment="1">
      <alignment horizontal="centerContinuous" vertical="center"/>
    </xf>
    <xf numFmtId="0" fontId="12" fillId="0" borderId="0" xfId="0" applyFont="1"/>
    <xf numFmtId="168" fontId="12" fillId="0" borderId="0" xfId="0" applyNumberFormat="1" applyFont="1"/>
    <xf numFmtId="9" fontId="12" fillId="0" borderId="0" xfId="0" applyNumberFormat="1" applyFont="1"/>
    <xf numFmtId="0" fontId="5" fillId="0" borderId="0" xfId="0" applyFont="1"/>
    <xf numFmtId="0" fontId="7" fillId="0" borderId="0" xfId="0" applyFont="1"/>
    <xf numFmtId="172" fontId="6" fillId="0" borderId="0" xfId="0" applyNumberFormat="1" applyFont="1"/>
    <xf numFmtId="173" fontId="3" fillId="0" borderId="0" xfId="0" applyNumberFormat="1" applyFont="1"/>
    <xf numFmtId="166" fontId="0" fillId="0" borderId="0" xfId="0" applyNumberFormat="1" applyFont="1"/>
    <xf numFmtId="172" fontId="3" fillId="0" borderId="2" xfId="0" applyNumberFormat="1" applyFont="1" applyBorder="1"/>
    <xf numFmtId="170" fontId="5" fillId="0" borderId="1" xfId="0" applyNumberFormat="1" applyFont="1" applyBorder="1"/>
    <xf numFmtId="172" fontId="0" fillId="0" borderId="1" xfId="0" applyNumberFormat="1" applyBorder="1"/>
    <xf numFmtId="166" fontId="13" fillId="0" borderId="0" xfId="0" applyNumberFormat="1" applyFont="1"/>
    <xf numFmtId="170" fontId="0" fillId="0" borderId="0" xfId="0" applyNumberFormat="1"/>
    <xf numFmtId="170" fontId="12" fillId="0" borderId="0" xfId="0" applyNumberFormat="1" applyFont="1"/>
    <xf numFmtId="9" fontId="0" fillId="0" borderId="0" xfId="0" applyNumberFormat="1"/>
    <xf numFmtId="171" fontId="5" fillId="0" borderId="0" xfId="0" applyNumberFormat="1" applyFont="1"/>
    <xf numFmtId="169" fontId="3" fillId="0" borderId="2" xfId="0" applyNumberFormat="1" applyFont="1" applyBorder="1"/>
    <xf numFmtId="172" fontId="3" fillId="0" borderId="0" xfId="0" applyNumberFormat="1" applyFont="1" applyFill="1" applyBorder="1"/>
    <xf numFmtId="171" fontId="0" fillId="0" borderId="0" xfId="0" applyNumberFormat="1"/>
    <xf numFmtId="174" fontId="0" fillId="0" borderId="0" xfId="0" applyNumberFormat="1"/>
    <xf numFmtId="175" fontId="0" fillId="0" borderId="0" xfId="0" applyNumberFormat="1"/>
    <xf numFmtId="176" fontId="0" fillId="0" borderId="0" xfId="0" applyNumberFormat="1"/>
    <xf numFmtId="172" fontId="3" fillId="0" borderId="0" xfId="0" applyNumberFormat="1" applyFont="1"/>
    <xf numFmtId="0" fontId="0" fillId="6" borderId="0" xfId="0" applyFill="1"/>
    <xf numFmtId="172" fontId="3" fillId="6" borderId="5" xfId="0" applyNumberFormat="1" applyFont="1" applyFill="1" applyBorder="1"/>
    <xf numFmtId="175" fontId="12" fillId="0" borderId="0" xfId="0" applyNumberFormat="1" applyFont="1"/>
    <xf numFmtId="171" fontId="12" fillId="0" borderId="0" xfId="0" applyNumberFormat="1" applyFont="1"/>
    <xf numFmtId="171" fontId="0" fillId="0" borderId="3" xfId="0" applyNumberFormat="1" applyBorder="1"/>
    <xf numFmtId="0" fontId="16" fillId="0" borderId="0" xfId="0" applyFont="1"/>
    <xf numFmtId="9" fontId="16" fillId="0" borderId="0" xfId="0" applyNumberFormat="1" applyFont="1"/>
    <xf numFmtId="167" fontId="10" fillId="3" borderId="0" xfId="0" applyNumberFormat="1" applyFont="1" applyFill="1" applyBorder="1" applyAlignment="1">
      <alignment horizontal="centerContinuous" vertical="center"/>
    </xf>
    <xf numFmtId="0" fontId="0" fillId="0" borderId="0" xfId="0" applyBorder="1"/>
    <xf numFmtId="175" fontId="16" fillId="0" borderId="0" xfId="0" applyNumberFormat="1" applyFont="1"/>
    <xf numFmtId="170" fontId="16" fillId="0" borderId="0" xfId="0" applyNumberFormat="1" applyFont="1"/>
    <xf numFmtId="164" fontId="3" fillId="0" borderId="1" xfId="0" applyNumberFormat="1" applyFont="1" applyBorder="1" applyAlignment="1">
      <alignment horizontal="right"/>
    </xf>
    <xf numFmtId="0" fontId="8" fillId="0" borderId="0" xfId="0" applyFont="1" applyBorder="1"/>
    <xf numFmtId="169" fontId="0" fillId="0" borderId="0" xfId="0" applyNumberFormat="1" applyFont="1"/>
    <xf numFmtId="169" fontId="0" fillId="0" borderId="1" xfId="0" applyNumberFormat="1" applyBorder="1"/>
    <xf numFmtId="169" fontId="0" fillId="0" borderId="3" xfId="0" applyNumberFormat="1" applyBorder="1"/>
    <xf numFmtId="170" fontId="16" fillId="0" borderId="1" xfId="0" applyNumberFormat="1" applyFont="1" applyBorder="1"/>
    <xf numFmtId="0" fontId="17" fillId="0" borderId="0" xfId="0" applyFont="1"/>
    <xf numFmtId="0" fontId="18" fillId="3" borderId="0" xfId="0" applyFont="1" applyFill="1" applyBorder="1" applyAlignment="1">
      <alignment horizontal="centerContinuous" vertical="center"/>
    </xf>
    <xf numFmtId="0" fontId="17" fillId="0" borderId="1" xfId="0" applyFont="1" applyBorder="1"/>
    <xf numFmtId="0" fontId="17" fillId="0" borderId="0" xfId="0" applyFont="1" applyBorder="1"/>
    <xf numFmtId="171" fontId="16" fillId="0" borderId="0" xfId="0" applyNumberFormat="1" applyFont="1"/>
    <xf numFmtId="0" fontId="0" fillId="0" borderId="0" xfId="0" quotePrefix="1"/>
    <xf numFmtId="9" fontId="19" fillId="0" borderId="0" xfId="0" applyNumberFormat="1" applyFont="1"/>
    <xf numFmtId="0" fontId="0" fillId="0" borderId="6" xfId="0" applyBorder="1"/>
    <xf numFmtId="0" fontId="0" fillId="0" borderId="7" xfId="0" applyBorder="1"/>
    <xf numFmtId="171" fontId="0" fillId="0" borderId="8" xfId="0" applyNumberFormat="1" applyBorder="1"/>
    <xf numFmtId="167" fontId="0" fillId="0" borderId="0" xfId="0" applyNumberFormat="1" applyBorder="1"/>
    <xf numFmtId="9" fontId="5" fillId="0" borderId="0" xfId="0" applyNumberFormat="1" applyFont="1" applyBorder="1"/>
    <xf numFmtId="9" fontId="20" fillId="0" borderId="1" xfId="0" applyNumberFormat="1" applyFont="1" applyBorder="1"/>
    <xf numFmtId="172" fontId="0" fillId="6" borderId="0" xfId="0" applyNumberFormat="1" applyFill="1"/>
    <xf numFmtId="0" fontId="2" fillId="2" borderId="9" xfId="0" applyFont="1" applyFill="1" applyBorder="1" applyAlignment="1">
      <alignment horizontal="centerContinuous"/>
    </xf>
    <xf numFmtId="164" fontId="3" fillId="0" borderId="10" xfId="0" applyNumberFormat="1" applyFont="1" applyBorder="1"/>
    <xf numFmtId="167" fontId="3" fillId="0" borderId="9" xfId="0" applyNumberFormat="1" applyFont="1" applyBorder="1"/>
    <xf numFmtId="167" fontId="0" fillId="0" borderId="9" xfId="0" applyNumberFormat="1" applyBorder="1"/>
    <xf numFmtId="168" fontId="6" fillId="0" borderId="9" xfId="0" applyNumberFormat="1" applyFont="1" applyBorder="1"/>
    <xf numFmtId="167" fontId="0" fillId="0" borderId="10" xfId="0" applyNumberFormat="1" applyBorder="1"/>
    <xf numFmtId="167" fontId="3" fillId="0" borderId="11" xfId="0" applyNumberFormat="1" applyFont="1" applyBorder="1"/>
    <xf numFmtId="0" fontId="0" fillId="0" borderId="9" xfId="0" applyBorder="1"/>
    <xf numFmtId="0" fontId="0" fillId="0" borderId="10" xfId="0" applyBorder="1"/>
    <xf numFmtId="166" fontId="0" fillId="0" borderId="12" xfId="0" applyNumberFormat="1" applyBorder="1"/>
    <xf numFmtId="164" fontId="3" fillId="0" borderId="9" xfId="0" applyNumberFormat="1" applyFont="1" applyBorder="1"/>
    <xf numFmtId="166" fontId="4" fillId="0" borderId="9" xfId="0" applyNumberFormat="1" applyFont="1" applyBorder="1"/>
    <xf numFmtId="166" fontId="0" fillId="0" borderId="10" xfId="0" applyNumberFormat="1" applyBorder="1"/>
    <xf numFmtId="166" fontId="8" fillId="0" borderId="9" xfId="0" applyNumberFormat="1" applyFont="1" applyBorder="1"/>
    <xf numFmtId="166" fontId="3" fillId="0" borderId="9" xfId="0" applyNumberFormat="1" applyFont="1" applyBorder="1"/>
    <xf numFmtId="166" fontId="0" fillId="0" borderId="9" xfId="0" applyNumberFormat="1" applyBorder="1"/>
    <xf numFmtId="166" fontId="3" fillId="0" borderId="11" xfId="0" applyNumberFormat="1" applyFont="1" applyBorder="1"/>
    <xf numFmtId="166" fontId="3" fillId="0" borderId="13" xfId="0" applyNumberFormat="1" applyFont="1" applyBorder="1"/>
    <xf numFmtId="169" fontId="0" fillId="0" borderId="9" xfId="0" applyNumberFormat="1" applyBorder="1"/>
    <xf numFmtId="0" fontId="3" fillId="0" borderId="11" xfId="0" applyFont="1" applyBorder="1"/>
    <xf numFmtId="0" fontId="3" fillId="0" borderId="13" xfId="0" applyFont="1" applyBorder="1"/>
    <xf numFmtId="167" fontId="9" fillId="5" borderId="11" xfId="0" applyNumberFormat="1" applyFont="1" applyFill="1" applyBorder="1"/>
    <xf numFmtId="0" fontId="9" fillId="4" borderId="9" xfId="0" applyFont="1" applyFill="1" applyBorder="1" applyAlignment="1">
      <alignment horizontal="centerContinuous"/>
    </xf>
    <xf numFmtId="172" fontId="0" fillId="0" borderId="9" xfId="0" applyNumberFormat="1" applyBorder="1"/>
    <xf numFmtId="172" fontId="6" fillId="0" borderId="9" xfId="0" applyNumberFormat="1" applyFont="1" applyBorder="1"/>
    <xf numFmtId="173" fontId="3" fillId="0" borderId="9" xfId="0" applyNumberFormat="1" applyFont="1" applyBorder="1"/>
    <xf numFmtId="0" fontId="3" fillId="0" borderId="9" xfId="0" applyFont="1" applyBorder="1"/>
    <xf numFmtId="0" fontId="10" fillId="3" borderId="9" xfId="0" applyFont="1" applyFill="1" applyBorder="1" applyAlignment="1">
      <alignment horizontal="centerContinuous" vertical="center"/>
    </xf>
    <xf numFmtId="167" fontId="3" fillId="0" borderId="0" xfId="0" applyNumberFormat="1" applyFont="1" applyBorder="1"/>
    <xf numFmtId="172" fontId="0" fillId="0" borderId="0" xfId="0" applyNumberFormat="1" applyBorder="1"/>
    <xf numFmtId="0" fontId="21" fillId="0" borderId="0" xfId="0" applyFont="1" applyBorder="1"/>
    <xf numFmtId="9" fontId="21" fillId="0" borderId="0" xfId="1" applyFont="1" applyBorder="1"/>
    <xf numFmtId="9" fontId="21" fillId="0" borderId="9" xfId="1" applyFont="1" applyBorder="1"/>
    <xf numFmtId="172" fontId="0" fillId="0" borderId="3" xfId="0" applyNumberFormat="1" applyBorder="1"/>
    <xf numFmtId="172" fontId="6" fillId="0" borderId="0" xfId="0" applyNumberFormat="1" applyFont="1" applyBorder="1"/>
    <xf numFmtId="173" fontId="3" fillId="0" borderId="0" xfId="0" applyNumberFormat="1" applyFont="1" applyBorder="1"/>
    <xf numFmtId="9" fontId="3" fillId="0" borderId="0" xfId="0" applyNumberFormat="1" applyFont="1"/>
    <xf numFmtId="167" fontId="3" fillId="7" borderId="0" xfId="0" applyNumberFormat="1" applyFont="1" applyFill="1"/>
    <xf numFmtId="177" fontId="0" fillId="0" borderId="0" xfId="0" applyNumberFormat="1"/>
    <xf numFmtId="2" fontId="0" fillId="0" borderId="0" xfId="0" applyNumberFormat="1"/>
    <xf numFmtId="168" fontId="0" fillId="0" borderId="0" xfId="1" applyNumberFormat="1" applyFont="1"/>
    <xf numFmtId="9" fontId="3" fillId="0" borderId="0" xfId="1" applyFont="1"/>
  </cellXfs>
  <cellStyles count="2">
    <cellStyle name="Normal" xfId="0" builtinId="0"/>
    <cellStyle name="Percent" xfId="1" builtinId="5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Canaccord">
      <a:dk1>
        <a:srgbClr val="3F3F3F"/>
      </a:dk1>
      <a:lt1>
        <a:srgbClr val="FFFFFF"/>
      </a:lt1>
      <a:dk2>
        <a:srgbClr val="ECEDEE"/>
      </a:dk2>
      <a:lt2>
        <a:srgbClr val="8EAC2A"/>
      </a:lt2>
      <a:accent1>
        <a:srgbClr val="003366"/>
      </a:accent1>
      <a:accent2>
        <a:srgbClr val="91A2B9"/>
      </a:accent2>
      <a:accent3>
        <a:srgbClr val="615F5E"/>
      </a:accent3>
      <a:accent4>
        <a:srgbClr val="CDE1EA"/>
      </a:accent4>
      <a:accent5>
        <a:srgbClr val="B0A3BF"/>
      </a:accent5>
      <a:accent6>
        <a:srgbClr val="055093"/>
      </a:accent6>
      <a:hlink>
        <a:srgbClr val="D1E4EB"/>
      </a:hlink>
      <a:folHlink>
        <a:srgbClr val="00559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H20"/>
  <sheetViews>
    <sheetView topLeftCell="A5" zoomScale="130" zoomScaleNormal="130" workbookViewId="0">
      <selection activeCell="E13" sqref="E13"/>
    </sheetView>
  </sheetViews>
  <sheetFormatPr defaultRowHeight="15" x14ac:dyDescent="0.25"/>
  <cols>
    <col min="1" max="1" width="16.85546875" customWidth="1"/>
    <col min="2" max="2" width="23.5703125" bestFit="1" customWidth="1"/>
    <col min="6" max="6" width="21.28515625" customWidth="1"/>
  </cols>
  <sheetData>
    <row r="2" spans="1:8" ht="24.95" customHeight="1" x14ac:dyDescent="0.25">
      <c r="B2" s="40" t="s">
        <v>11</v>
      </c>
      <c r="C2" s="39"/>
      <c r="D2" s="39"/>
      <c r="F2" s="40" t="s">
        <v>83</v>
      </c>
      <c r="G2" s="39"/>
      <c r="H2" s="39"/>
    </row>
    <row r="3" spans="1:8" x14ac:dyDescent="0.25">
      <c r="B3" t="s">
        <v>12</v>
      </c>
      <c r="D3" s="43">
        <v>0.15</v>
      </c>
      <c r="F3" t="s">
        <v>84</v>
      </c>
      <c r="H3" s="43">
        <v>0.12</v>
      </c>
    </row>
    <row r="4" spans="1:8" x14ac:dyDescent="0.25">
      <c r="B4" t="s">
        <v>3</v>
      </c>
      <c r="D4" s="43">
        <v>0.48</v>
      </c>
      <c r="F4" t="s">
        <v>85</v>
      </c>
      <c r="H4" s="54">
        <v>0.02</v>
      </c>
    </row>
    <row r="5" spans="1:8" x14ac:dyDescent="0.25">
      <c r="B5" t="s">
        <v>14</v>
      </c>
      <c r="D5" s="43">
        <v>0.2</v>
      </c>
    </row>
    <row r="6" spans="1:8" ht="17.25" x14ac:dyDescent="0.25">
      <c r="B6" t="s">
        <v>59</v>
      </c>
      <c r="D6" s="43">
        <v>0.15</v>
      </c>
      <c r="F6" s="40" t="s">
        <v>91</v>
      </c>
      <c r="G6" s="39"/>
      <c r="H6" s="39"/>
    </row>
    <row r="7" spans="1:8" x14ac:dyDescent="0.25">
      <c r="B7" t="s">
        <v>17</v>
      </c>
      <c r="D7" s="43">
        <v>0.28999999999999998</v>
      </c>
      <c r="F7" t="s">
        <v>95</v>
      </c>
      <c r="H7" s="66">
        <v>2.5</v>
      </c>
    </row>
    <row r="8" spans="1:8" ht="24.95" customHeight="1" x14ac:dyDescent="0.25">
      <c r="B8" s="40" t="s">
        <v>18</v>
      </c>
      <c r="C8" s="39"/>
      <c r="D8" s="39"/>
      <c r="F8" t="s">
        <v>97</v>
      </c>
      <c r="H8" s="67">
        <v>0.05</v>
      </c>
    </row>
    <row r="9" spans="1:8" x14ac:dyDescent="0.25">
      <c r="B9" t="s">
        <v>21</v>
      </c>
      <c r="D9" s="42">
        <v>0.05</v>
      </c>
      <c r="F9" t="s">
        <v>123</v>
      </c>
      <c r="H9" s="41">
        <v>8</v>
      </c>
    </row>
    <row r="10" spans="1:8" x14ac:dyDescent="0.25">
      <c r="B10" t="s">
        <v>69</v>
      </c>
      <c r="D10" s="42">
        <v>0.1</v>
      </c>
      <c r="F10" t="s">
        <v>96</v>
      </c>
      <c r="H10" s="66">
        <v>1</v>
      </c>
    </row>
    <row r="11" spans="1:8" ht="24.95" customHeight="1" x14ac:dyDescent="0.25">
      <c r="B11" s="40" t="s">
        <v>60</v>
      </c>
      <c r="C11" s="39"/>
      <c r="D11" s="39"/>
      <c r="F11" t="s">
        <v>98</v>
      </c>
      <c r="H11" s="67">
        <v>0.12</v>
      </c>
    </row>
    <row r="12" spans="1:8" x14ac:dyDescent="0.25">
      <c r="B12" t="s">
        <v>62</v>
      </c>
      <c r="D12" s="41">
        <v>30</v>
      </c>
      <c r="F12" t="s">
        <v>99</v>
      </c>
      <c r="H12" s="41">
        <v>1</v>
      </c>
    </row>
    <row r="13" spans="1:8" x14ac:dyDescent="0.25">
      <c r="A13" t="s">
        <v>163</v>
      </c>
      <c r="B13" t="s">
        <v>164</v>
      </c>
      <c r="D13" s="41">
        <v>165</v>
      </c>
      <c r="H13" s="41"/>
    </row>
    <row r="14" spans="1:8" x14ac:dyDescent="0.25">
      <c r="B14" t="s">
        <v>61</v>
      </c>
      <c r="D14" s="41">
        <v>60</v>
      </c>
      <c r="F14" t="s">
        <v>100</v>
      </c>
      <c r="H14" s="43">
        <v>0.6</v>
      </c>
    </row>
    <row r="15" spans="1:8" ht="17.25" x14ac:dyDescent="0.25">
      <c r="B15" s="40" t="s">
        <v>75</v>
      </c>
      <c r="C15" s="39"/>
      <c r="D15" s="39"/>
    </row>
    <row r="16" spans="1:8" x14ac:dyDescent="0.25">
      <c r="B16" t="s">
        <v>77</v>
      </c>
      <c r="D16" s="43">
        <v>0.2</v>
      </c>
      <c r="F16" t="s">
        <v>101</v>
      </c>
      <c r="H16" s="41">
        <v>4</v>
      </c>
    </row>
    <row r="17" spans="2:8" x14ac:dyDescent="0.25">
      <c r="B17" t="s">
        <v>8</v>
      </c>
      <c r="D17" s="54">
        <v>0.04</v>
      </c>
      <c r="F17" t="s">
        <v>119</v>
      </c>
      <c r="H17" s="43">
        <v>0.02</v>
      </c>
    </row>
    <row r="19" spans="2:8" x14ac:dyDescent="0.25">
      <c r="B19" t="s">
        <v>136</v>
      </c>
      <c r="D19" s="43">
        <v>0.01</v>
      </c>
      <c r="F19" t="s">
        <v>120</v>
      </c>
      <c r="H19" s="43">
        <v>0.25</v>
      </c>
    </row>
    <row r="20" spans="2:8" x14ac:dyDescent="0.25">
      <c r="B20" t="s">
        <v>137</v>
      </c>
      <c r="D20" s="43">
        <v>0.05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M136"/>
  <sheetViews>
    <sheetView tabSelected="1" zoomScaleNormal="100" workbookViewId="0">
      <pane xSplit="3" ySplit="3" topLeftCell="D6" activePane="bottomRight" state="frozen"/>
      <selection pane="topRight" activeCell="D1" sqref="D1"/>
      <selection pane="bottomLeft" activeCell="A4" sqref="A4"/>
      <selection pane="bottomRight" activeCell="L129" sqref="L129"/>
    </sheetView>
  </sheetViews>
  <sheetFormatPr defaultRowHeight="15" x14ac:dyDescent="0.25"/>
  <cols>
    <col min="2" max="2" width="19.28515625" bestFit="1" customWidth="1"/>
    <col min="6" max="6" width="9.140625" style="102"/>
    <col min="7" max="7" width="10" customWidth="1"/>
  </cols>
  <sheetData>
    <row r="2" spans="2:13" x14ac:dyDescent="0.25">
      <c r="B2" s="2" t="s">
        <v>1</v>
      </c>
      <c r="C2" s="2"/>
      <c r="D2" s="2"/>
      <c r="E2" s="2"/>
      <c r="F2" s="95"/>
      <c r="G2" s="2"/>
      <c r="H2" s="2"/>
      <c r="I2" s="2"/>
      <c r="J2" s="2"/>
      <c r="K2" s="2"/>
      <c r="L2" s="2"/>
    </row>
    <row r="3" spans="2:13" x14ac:dyDescent="0.25">
      <c r="B3" s="23" t="s">
        <v>20</v>
      </c>
      <c r="C3" s="4" t="s">
        <v>155</v>
      </c>
      <c r="D3" s="4"/>
      <c r="E3" s="5">
        <v>2013</v>
      </c>
      <c r="F3" s="96">
        <v>2014</v>
      </c>
      <c r="G3" s="6">
        <f t="shared" ref="G3:K3" si="0">+F3+1</f>
        <v>2015</v>
      </c>
      <c r="H3" s="6">
        <f t="shared" si="0"/>
        <v>2016</v>
      </c>
      <c r="I3" s="6">
        <f t="shared" si="0"/>
        <v>2017</v>
      </c>
      <c r="J3" s="6">
        <f t="shared" si="0"/>
        <v>2018</v>
      </c>
      <c r="K3" s="6">
        <f t="shared" si="0"/>
        <v>2019</v>
      </c>
      <c r="L3" s="6" t="s">
        <v>10</v>
      </c>
    </row>
    <row r="4" spans="2:13" x14ac:dyDescent="0.25">
      <c r="B4" s="3" t="str">
        <f>+'Raw data'!C4</f>
        <v>Sales</v>
      </c>
      <c r="C4" s="16">
        <f>+Assumptions!D3</f>
        <v>0.15</v>
      </c>
      <c r="D4" s="3"/>
      <c r="E4" s="10">
        <f>+'Raw data'!E4</f>
        <v>100</v>
      </c>
      <c r="F4" s="97">
        <f>+'Raw data'!F4</f>
        <v>120</v>
      </c>
      <c r="G4" s="10">
        <f>F4*(1+$C$4)</f>
        <v>138</v>
      </c>
      <c r="H4" s="10">
        <f t="shared" ref="H4:K4" si="1">G4*(1+$C$4)</f>
        <v>158.69999999999999</v>
      </c>
      <c r="I4" s="10">
        <f t="shared" si="1"/>
        <v>182.50499999999997</v>
      </c>
      <c r="J4" s="10">
        <f t="shared" si="1"/>
        <v>209.88074999999995</v>
      </c>
      <c r="K4" s="10">
        <f t="shared" si="1"/>
        <v>241.36286249999992</v>
      </c>
      <c r="L4" s="36">
        <f>+(K4/F4)^(1/5)-1</f>
        <v>0.14999999999999991</v>
      </c>
    </row>
    <row r="5" spans="2:13" x14ac:dyDescent="0.25">
      <c r="B5" t="str">
        <f>+'Raw data'!C5</f>
        <v>COGS</v>
      </c>
      <c r="E5" s="9">
        <f>+'Raw data'!E5</f>
        <v>-50</v>
      </c>
      <c r="F5" s="98">
        <f>+'Raw data'!F5</f>
        <v>-65</v>
      </c>
      <c r="G5" s="9">
        <f>G4-G6</f>
        <v>71.760000000000005</v>
      </c>
      <c r="H5" s="9">
        <f t="shared" ref="H5:K5" si="2">H4-H6</f>
        <v>82.524000000000001</v>
      </c>
      <c r="I5" s="9">
        <f t="shared" si="2"/>
        <v>94.902599999999993</v>
      </c>
      <c r="J5" s="9">
        <f t="shared" si="2"/>
        <v>109.13798999999997</v>
      </c>
      <c r="K5" s="9">
        <f t="shared" si="2"/>
        <v>125.50868849999996</v>
      </c>
      <c r="L5" s="36">
        <f t="shared" ref="L5:L10" si="3">+(K5/F5)^(1/5)-1</f>
        <v>-2.1406491651749509</v>
      </c>
    </row>
    <row r="6" spans="2:13" x14ac:dyDescent="0.25">
      <c r="B6" s="3" t="s">
        <v>13</v>
      </c>
      <c r="E6" s="10">
        <f>+'Raw data'!E6</f>
        <v>50</v>
      </c>
      <c r="F6" s="97">
        <f>+'Raw data'!F6</f>
        <v>55</v>
      </c>
      <c r="G6" s="10">
        <f>G4*G7</f>
        <v>66.239999999999995</v>
      </c>
      <c r="H6" s="10">
        <f t="shared" ref="H6:K6" si="4">H4*H7</f>
        <v>76.175999999999988</v>
      </c>
      <c r="I6" s="10">
        <f t="shared" si="4"/>
        <v>87.602399999999975</v>
      </c>
      <c r="J6" s="10">
        <f t="shared" si="4"/>
        <v>100.74275999999998</v>
      </c>
      <c r="K6" s="10">
        <f t="shared" si="4"/>
        <v>115.85417399999996</v>
      </c>
      <c r="L6" s="36">
        <f t="shared" si="3"/>
        <v>0.16067277897528442</v>
      </c>
    </row>
    <row r="7" spans="2:13" x14ac:dyDescent="0.25">
      <c r="B7" s="17" t="s">
        <v>3</v>
      </c>
      <c r="C7" s="19">
        <f>+Assumptions!D4</f>
        <v>0.48</v>
      </c>
      <c r="E7" s="18">
        <f t="shared" ref="E7:F7" si="5">+E6/E4</f>
        <v>0.5</v>
      </c>
      <c r="F7" s="99">
        <f t="shared" si="5"/>
        <v>0.45833333333333331</v>
      </c>
      <c r="G7" s="18">
        <f>$C$7</f>
        <v>0.48</v>
      </c>
      <c r="H7" s="18">
        <f t="shared" ref="H7:K7" si="6">$C$7</f>
        <v>0.48</v>
      </c>
      <c r="I7" s="18">
        <f t="shared" si="6"/>
        <v>0.48</v>
      </c>
      <c r="J7" s="18">
        <f t="shared" si="6"/>
        <v>0.48</v>
      </c>
      <c r="K7" s="18">
        <f t="shared" si="6"/>
        <v>0.48</v>
      </c>
      <c r="L7" s="36"/>
      <c r="M7" t="s">
        <v>156</v>
      </c>
    </row>
    <row r="8" spans="2:13" x14ac:dyDescent="0.25">
      <c r="B8" t="str">
        <f>+'Raw data'!C7</f>
        <v>S&amp;M</v>
      </c>
      <c r="C8" s="16">
        <f>+Assumptions!D5</f>
        <v>0.2</v>
      </c>
      <c r="E8" s="9">
        <f>+'Raw data'!E7</f>
        <v>-20</v>
      </c>
      <c r="F8" s="98">
        <f>+'Raw data'!F7</f>
        <v>-22</v>
      </c>
      <c r="G8" s="9">
        <f>-$C8*G$4</f>
        <v>-27.6</v>
      </c>
      <c r="H8" s="9">
        <f t="shared" ref="H8:K9" si="7">-$C8*H$4</f>
        <v>-31.74</v>
      </c>
      <c r="I8" s="9">
        <f t="shared" si="7"/>
        <v>-36.500999999999998</v>
      </c>
      <c r="J8" s="9">
        <f t="shared" si="7"/>
        <v>-41.97614999999999</v>
      </c>
      <c r="K8" s="9">
        <f t="shared" si="7"/>
        <v>-48.272572499999988</v>
      </c>
      <c r="L8" s="36">
        <f t="shared" si="3"/>
        <v>0.17018776375192557</v>
      </c>
    </row>
    <row r="9" spans="2:13" x14ac:dyDescent="0.25">
      <c r="B9" s="11" t="str">
        <f>+'Raw data'!C8</f>
        <v>Opex</v>
      </c>
      <c r="C9" s="16">
        <f>+Assumptions!D6</f>
        <v>0.15</v>
      </c>
      <c r="D9" s="11"/>
      <c r="E9" s="12">
        <f>+'Raw data'!E8</f>
        <v>-20</v>
      </c>
      <c r="F9" s="100">
        <f>+'Raw data'!F8</f>
        <v>-21</v>
      </c>
      <c r="G9" s="9">
        <f t="shared" ref="G9" si="8">-$C9*G$4</f>
        <v>-20.7</v>
      </c>
      <c r="H9" s="9">
        <f t="shared" si="7"/>
        <v>-23.804999999999996</v>
      </c>
      <c r="I9" s="9">
        <f t="shared" si="7"/>
        <v>-27.375749999999993</v>
      </c>
      <c r="J9" s="9">
        <f t="shared" si="7"/>
        <v>-31.482112499999992</v>
      </c>
      <c r="K9" s="9">
        <f t="shared" si="7"/>
        <v>-36.204429374999989</v>
      </c>
      <c r="L9" s="36">
        <f t="shared" si="3"/>
        <v>0.11508630600991587</v>
      </c>
    </row>
    <row r="10" spans="2:13" x14ac:dyDescent="0.25">
      <c r="B10" s="13" t="str">
        <f>+'Raw data'!C9</f>
        <v>EBITDA</v>
      </c>
      <c r="C10" s="13"/>
      <c r="D10" s="13"/>
      <c r="E10" s="14">
        <f>+'Raw data'!E9</f>
        <v>10</v>
      </c>
      <c r="F10" s="101">
        <f>+'Raw data'!F9</f>
        <v>12</v>
      </c>
      <c r="G10" s="14">
        <f>G6+G8+G9</f>
        <v>17.939999999999994</v>
      </c>
      <c r="H10" s="14">
        <f t="shared" ref="H10:K10" si="9">H6+H8+H9</f>
        <v>20.630999999999997</v>
      </c>
      <c r="I10" s="14">
        <f t="shared" si="9"/>
        <v>23.725649999999984</v>
      </c>
      <c r="J10" s="14">
        <f t="shared" si="9"/>
        <v>27.284497499999993</v>
      </c>
      <c r="K10" s="14">
        <f t="shared" si="9"/>
        <v>31.377172124999987</v>
      </c>
      <c r="L10" s="36">
        <f t="shared" si="3"/>
        <v>0.21195504487105077</v>
      </c>
    </row>
    <row r="11" spans="2:13" s="17" customFormat="1" x14ac:dyDescent="0.25">
      <c r="B11" s="125" t="s">
        <v>157</v>
      </c>
      <c r="C11" s="125"/>
      <c r="D11" s="125"/>
      <c r="E11" s="126">
        <f>E10/E4</f>
        <v>0.1</v>
      </c>
      <c r="F11" s="127">
        <f t="shared" ref="F11:K11" si="10">F10/F4</f>
        <v>0.1</v>
      </c>
      <c r="G11" s="126">
        <f t="shared" si="10"/>
        <v>0.12999999999999995</v>
      </c>
      <c r="H11" s="126">
        <f t="shared" si="10"/>
        <v>0.12999999999999998</v>
      </c>
      <c r="I11" s="126">
        <f t="shared" si="10"/>
        <v>0.12999999999999995</v>
      </c>
      <c r="J11" s="126">
        <f t="shared" si="10"/>
        <v>0.13</v>
      </c>
      <c r="K11" s="126">
        <f t="shared" si="10"/>
        <v>0.12999999999999998</v>
      </c>
      <c r="L11" s="36"/>
    </row>
    <row r="12" spans="2:13" x14ac:dyDescent="0.25">
      <c r="B12" t="s">
        <v>7</v>
      </c>
      <c r="G12" s="38">
        <f>G98</f>
        <v>-2.5</v>
      </c>
      <c r="H12" s="38">
        <f t="shared" ref="H12:K12" si="11">H98</f>
        <v>-2.94</v>
      </c>
      <c r="I12" s="38">
        <f t="shared" si="11"/>
        <v>-3.4395000000000007</v>
      </c>
      <c r="J12" s="38">
        <f t="shared" si="11"/>
        <v>-4.0080750000000007</v>
      </c>
      <c r="K12" s="38">
        <f t="shared" si="11"/>
        <v>-4.6566712500000005</v>
      </c>
    </row>
    <row r="13" spans="2:13" s="72" customFormat="1" x14ac:dyDescent="0.25">
      <c r="B13" s="72" t="s">
        <v>8</v>
      </c>
      <c r="F13" s="102"/>
      <c r="G13" s="124">
        <f>G108</f>
        <v>-1</v>
      </c>
      <c r="H13" s="124">
        <f t="shared" ref="H13:K13" si="12">H108</f>
        <v>-0.8</v>
      </c>
      <c r="I13" s="124">
        <f t="shared" si="12"/>
        <v>-0.6</v>
      </c>
      <c r="J13" s="124">
        <f t="shared" si="12"/>
        <v>-0.4</v>
      </c>
      <c r="K13" s="124">
        <f t="shared" si="12"/>
        <v>-0.2</v>
      </c>
    </row>
    <row r="14" spans="2:13" x14ac:dyDescent="0.25">
      <c r="B14" t="s">
        <v>15</v>
      </c>
      <c r="E14" s="91">
        <f>+E10+E12+E13</f>
        <v>10</v>
      </c>
      <c r="F14" s="98">
        <f>+F10+F12+F13</f>
        <v>12</v>
      </c>
      <c r="G14" s="124">
        <f>+G10+G12+G13</f>
        <v>14.439999999999994</v>
      </c>
      <c r="H14" s="124">
        <f t="shared" ref="H14:K14" si="13">+H10+H12+H13</f>
        <v>16.890999999999995</v>
      </c>
      <c r="I14" s="124">
        <f t="shared" si="13"/>
        <v>19.686149999999984</v>
      </c>
      <c r="J14" s="124">
        <f t="shared" si="13"/>
        <v>22.876422499999993</v>
      </c>
      <c r="K14" s="124">
        <f t="shared" si="13"/>
        <v>26.520500874999986</v>
      </c>
      <c r="L14" s="36">
        <f t="shared" ref="L14" si="14">+(K14/F14)^(1/5)-1</f>
        <v>0.17187177761944783</v>
      </c>
    </row>
    <row r="15" spans="2:13" ht="15.75" thickBot="1" x14ac:dyDescent="0.3">
      <c r="B15" s="20" t="s">
        <v>9</v>
      </c>
      <c r="C15" s="21">
        <f>+Assumptions!D7</f>
        <v>0.28999999999999998</v>
      </c>
      <c r="D15" s="20"/>
      <c r="E15" s="128">
        <f>-$C$15*E14</f>
        <v>-2.9</v>
      </c>
      <c r="F15" s="104">
        <f t="shared" ref="F15" si="15">-$C$15*F14</f>
        <v>-3.4799999999999995</v>
      </c>
      <c r="G15" s="22">
        <f t="shared" ref="G15:K15" si="16">-$C$15*G14</f>
        <v>-4.187599999999998</v>
      </c>
      <c r="H15" s="22">
        <f t="shared" si="16"/>
        <v>-4.8983899999999982</v>
      </c>
      <c r="I15" s="22">
        <f t="shared" si="16"/>
        <v>-5.7089834999999951</v>
      </c>
      <c r="J15" s="22">
        <f t="shared" si="16"/>
        <v>-6.6341625249999971</v>
      </c>
      <c r="K15" s="22">
        <f t="shared" si="16"/>
        <v>-7.6909452537499954</v>
      </c>
    </row>
    <row r="16" spans="2:13" ht="15.75" thickTop="1" x14ac:dyDescent="0.25">
      <c r="B16" s="3" t="s">
        <v>16</v>
      </c>
      <c r="C16" s="3"/>
      <c r="D16" s="3"/>
      <c r="E16" s="10">
        <f>+E14+E15</f>
        <v>7.1</v>
      </c>
      <c r="F16" s="97">
        <f t="shared" ref="F16" si="17">+F14+F15</f>
        <v>8.52</v>
      </c>
      <c r="G16" s="123">
        <f t="shared" ref="G16:K16" si="18">+G14+G15</f>
        <v>10.252399999999996</v>
      </c>
      <c r="H16" s="123">
        <f t="shared" si="18"/>
        <v>11.992609999999996</v>
      </c>
      <c r="I16" s="123">
        <f t="shared" si="18"/>
        <v>13.977166499999989</v>
      </c>
      <c r="J16" s="123">
        <f t="shared" si="18"/>
        <v>16.242259974999996</v>
      </c>
      <c r="K16" s="123">
        <f t="shared" si="18"/>
        <v>18.829555621249991</v>
      </c>
      <c r="L16" s="36">
        <f t="shared" ref="L16" si="19">+(K16/F16)^(1/5)-1</f>
        <v>0.17187177761944783</v>
      </c>
    </row>
    <row r="19" spans="2:12" x14ac:dyDescent="0.25">
      <c r="B19" s="2" t="s">
        <v>18</v>
      </c>
      <c r="C19" s="2"/>
      <c r="D19" s="2"/>
      <c r="E19" s="2"/>
      <c r="F19" s="95"/>
      <c r="G19" s="2"/>
      <c r="H19" s="2"/>
      <c r="I19" s="2"/>
      <c r="J19" s="2"/>
      <c r="K19" s="2"/>
      <c r="L19" s="2"/>
    </row>
    <row r="20" spans="2:12" x14ac:dyDescent="0.25">
      <c r="B20" s="4" t="str">
        <f>+B3</f>
        <v>C$ - MM</v>
      </c>
      <c r="C20" s="4"/>
      <c r="D20" s="4"/>
      <c r="E20" s="5">
        <v>2013</v>
      </c>
      <c r="F20" s="96">
        <v>2014</v>
      </c>
      <c r="G20" s="6">
        <f t="shared" ref="G20:K20" si="20">+F20+1</f>
        <v>2015</v>
      </c>
      <c r="H20" s="6">
        <f t="shared" si="20"/>
        <v>2016</v>
      </c>
      <c r="I20" s="6">
        <f t="shared" si="20"/>
        <v>2017</v>
      </c>
      <c r="J20" s="6">
        <f t="shared" si="20"/>
        <v>2018</v>
      </c>
      <c r="K20" s="6">
        <f t="shared" si="20"/>
        <v>2019</v>
      </c>
      <c r="L20" s="6" t="s">
        <v>10</v>
      </c>
    </row>
    <row r="21" spans="2:12" x14ac:dyDescent="0.25">
      <c r="B21" t="s">
        <v>19</v>
      </c>
      <c r="E21" s="9">
        <v>-3</v>
      </c>
      <c r="F21" s="98">
        <v>-4</v>
      </c>
      <c r="G21" s="9">
        <f>-G22*G4</f>
        <v>-6.9</v>
      </c>
      <c r="H21" s="9">
        <f>-H22*H4</f>
        <v>-7.9349999999999996</v>
      </c>
      <c r="I21" s="9">
        <f>-I22*I4</f>
        <v>-9.1252499999999994</v>
      </c>
      <c r="J21" s="9">
        <f>-J22*J4</f>
        <v>-10.494037499999997</v>
      </c>
      <c r="K21" s="9">
        <f>-K22*K4</f>
        <v>-12.068143124999997</v>
      </c>
      <c r="L21" s="36">
        <f t="shared" ref="L21" si="21">+(K21/F21)^(1/5)-1</f>
        <v>0.24714253687735344</v>
      </c>
    </row>
    <row r="22" spans="2:12" x14ac:dyDescent="0.25">
      <c r="B22" t="s">
        <v>22</v>
      </c>
      <c r="C22" s="24">
        <f>+Assumptions!D9</f>
        <v>0.05</v>
      </c>
      <c r="E22" s="18">
        <f>-E21/E4</f>
        <v>0.03</v>
      </c>
      <c r="F22" s="99">
        <f>-F21/F4</f>
        <v>3.3333333333333333E-2</v>
      </c>
      <c r="G22" s="18">
        <f>+$C$22</f>
        <v>0.05</v>
      </c>
      <c r="H22" s="18">
        <f t="shared" ref="H22:K22" si="22">+$C$22</f>
        <v>0.05</v>
      </c>
      <c r="I22" s="18">
        <f t="shared" si="22"/>
        <v>0.05</v>
      </c>
      <c r="J22" s="18">
        <f t="shared" si="22"/>
        <v>0.05</v>
      </c>
      <c r="K22" s="18">
        <f t="shared" si="22"/>
        <v>0.05</v>
      </c>
    </row>
    <row r="25" spans="2:12" x14ac:dyDescent="0.25">
      <c r="B25" s="2" t="s">
        <v>23</v>
      </c>
      <c r="C25" s="2"/>
      <c r="D25" s="2"/>
      <c r="E25" s="2"/>
      <c r="F25" s="95"/>
      <c r="G25" s="2"/>
      <c r="H25" s="2"/>
      <c r="I25" s="2"/>
      <c r="J25" s="2"/>
      <c r="K25" s="2"/>
      <c r="L25" t="s">
        <v>158</v>
      </c>
    </row>
    <row r="26" spans="2:12" x14ac:dyDescent="0.25">
      <c r="B26" s="4" t="str">
        <f>+B20</f>
        <v>C$ - MM</v>
      </c>
      <c r="C26" s="4"/>
      <c r="D26" s="4"/>
      <c r="E26" s="5">
        <v>2013</v>
      </c>
      <c r="F26" s="96">
        <v>2014</v>
      </c>
      <c r="G26" s="6">
        <f t="shared" ref="G26:K26" si="23">+F26+1</f>
        <v>2015</v>
      </c>
      <c r="H26" s="6">
        <f t="shared" si="23"/>
        <v>2016</v>
      </c>
      <c r="I26" s="6">
        <f t="shared" si="23"/>
        <v>2017</v>
      </c>
      <c r="J26" s="6">
        <f t="shared" si="23"/>
        <v>2018</v>
      </c>
      <c r="K26" s="6">
        <f t="shared" si="23"/>
        <v>2019</v>
      </c>
    </row>
    <row r="27" spans="2:12" x14ac:dyDescent="0.25">
      <c r="B27" s="25" t="s">
        <v>32</v>
      </c>
      <c r="C27" s="25"/>
      <c r="D27" s="25"/>
      <c r="E27" s="26"/>
      <c r="F27" s="105"/>
      <c r="G27" s="27"/>
      <c r="H27" s="27"/>
      <c r="I27" s="27"/>
      <c r="J27" s="27"/>
      <c r="K27" s="27"/>
    </row>
    <row r="28" spans="2:12" x14ac:dyDescent="0.25">
      <c r="B28" t="s">
        <v>24</v>
      </c>
      <c r="E28" s="9"/>
      <c r="F28" s="106">
        <v>20</v>
      </c>
      <c r="G28" s="7">
        <f>F28+G64</f>
        <v>18.866646575342465</v>
      </c>
      <c r="H28" s="7">
        <f t="shared" ref="H28:K28" si="24">G28+H64</f>
        <v>15.066393561643828</v>
      </c>
      <c r="I28" s="7">
        <f t="shared" si="24"/>
        <v>11.840267595890397</v>
      </c>
      <c r="J28" s="7">
        <f t="shared" si="24"/>
        <v>9.2513912352739762</v>
      </c>
      <c r="K28" s="7">
        <f t="shared" si="24"/>
        <v>7.3725250705650538</v>
      </c>
      <c r="L28" t="s">
        <v>170</v>
      </c>
    </row>
    <row r="29" spans="2:12" x14ac:dyDescent="0.25">
      <c r="B29" t="s">
        <v>25</v>
      </c>
      <c r="C29" s="24"/>
      <c r="E29" s="18"/>
      <c r="F29" s="106">
        <v>10</v>
      </c>
      <c r="G29" s="48">
        <f>G79</f>
        <v>11.342465753424658</v>
      </c>
      <c r="H29" s="48">
        <f t="shared" ref="H29:K29" si="25">H79</f>
        <v>13.043835616438354</v>
      </c>
      <c r="I29" s="48">
        <f t="shared" si="25"/>
        <v>15.000410958904107</v>
      </c>
      <c r="J29" s="48">
        <f t="shared" si="25"/>
        <v>17.25047260273972</v>
      </c>
      <c r="K29" s="48">
        <f t="shared" si="25"/>
        <v>19.838043493150678</v>
      </c>
    </row>
    <row r="30" spans="2:12" x14ac:dyDescent="0.25">
      <c r="B30" t="s">
        <v>26</v>
      </c>
      <c r="F30" s="106">
        <v>30</v>
      </c>
      <c r="G30" s="7">
        <f>G82</f>
        <v>32.439452054794522</v>
      </c>
      <c r="H30" s="7">
        <f t="shared" ref="H30:K30" si="26">H82</f>
        <v>37.305369863013702</v>
      </c>
      <c r="I30" s="7">
        <f t="shared" si="26"/>
        <v>42.901175342465756</v>
      </c>
      <c r="J30" s="7">
        <f t="shared" si="26"/>
        <v>49.336351643835599</v>
      </c>
      <c r="K30" s="7">
        <f t="shared" si="26"/>
        <v>56.736804390410946</v>
      </c>
    </row>
    <row r="31" spans="2:12" x14ac:dyDescent="0.25">
      <c r="B31" s="11" t="s">
        <v>27</v>
      </c>
      <c r="C31" s="11"/>
      <c r="D31" s="11"/>
      <c r="E31" s="11"/>
      <c r="F31" s="107">
        <v>5</v>
      </c>
      <c r="G31" s="29">
        <f>G85</f>
        <v>5</v>
      </c>
      <c r="H31" s="29">
        <f t="shared" ref="H31:K31" si="27">H85</f>
        <v>6</v>
      </c>
      <c r="I31" s="29">
        <f t="shared" si="27"/>
        <v>7</v>
      </c>
      <c r="J31" s="29">
        <f t="shared" si="27"/>
        <v>8</v>
      </c>
      <c r="K31" s="29">
        <f t="shared" si="27"/>
        <v>9</v>
      </c>
    </row>
    <row r="32" spans="2:12" x14ac:dyDescent="0.25">
      <c r="B32" s="3" t="s">
        <v>28</v>
      </c>
      <c r="C32" s="3"/>
      <c r="D32" s="3"/>
      <c r="E32" s="3"/>
      <c r="F32" s="108">
        <f>SUM(F28:F31)</f>
        <v>65</v>
      </c>
      <c r="G32" s="52">
        <f>SUM(G28:G31)</f>
        <v>67.648564383561649</v>
      </c>
      <c r="H32" s="52">
        <f t="shared" ref="H32:K32" si="28">SUM(H28:H31)</f>
        <v>71.415599041095888</v>
      </c>
      <c r="I32" s="52">
        <f t="shared" si="28"/>
        <v>76.741853897260256</v>
      </c>
      <c r="J32" s="52">
        <f t="shared" si="28"/>
        <v>83.838215481849289</v>
      </c>
      <c r="K32" s="52">
        <f t="shared" si="28"/>
        <v>92.947372954126678</v>
      </c>
      <c r="L32" t="s">
        <v>171</v>
      </c>
    </row>
    <row r="33" spans="2:11" x14ac:dyDescent="0.25">
      <c r="B33" t="s">
        <v>29</v>
      </c>
      <c r="F33" s="106">
        <v>25</v>
      </c>
      <c r="G33" s="7">
        <f>G99</f>
        <v>29.4</v>
      </c>
      <c r="H33" s="7">
        <f t="shared" ref="H33:K33" si="29">H99</f>
        <v>34.395000000000003</v>
      </c>
      <c r="I33" s="7">
        <f t="shared" si="29"/>
        <v>40.080750000000002</v>
      </c>
      <c r="J33" s="7">
        <f t="shared" si="29"/>
        <v>46.566712500000001</v>
      </c>
      <c r="K33" s="7">
        <f t="shared" si="29"/>
        <v>53.978184374999998</v>
      </c>
    </row>
    <row r="34" spans="2:11" ht="15.75" thickBot="1" x14ac:dyDescent="0.3">
      <c r="B34" s="20" t="s">
        <v>30</v>
      </c>
      <c r="C34" s="20"/>
      <c r="D34" s="20"/>
      <c r="E34" s="20"/>
      <c r="F34" s="104">
        <v>0</v>
      </c>
      <c r="G34" s="22"/>
      <c r="H34" s="22"/>
      <c r="I34" s="22"/>
      <c r="J34" s="22"/>
      <c r="K34" s="22"/>
    </row>
    <row r="35" spans="2:11" ht="15.75" thickTop="1" x14ac:dyDescent="0.25">
      <c r="B35" s="3" t="s">
        <v>31</v>
      </c>
      <c r="C35" s="3"/>
      <c r="D35" s="3"/>
      <c r="E35" s="3"/>
      <c r="F35" s="109">
        <f>+F32+F33+F34</f>
        <v>90</v>
      </c>
      <c r="G35" s="15">
        <f>SUM(G32:G34)</f>
        <v>97.048564383561654</v>
      </c>
      <c r="H35" s="15">
        <f t="shared" ref="H35:K35" si="30">SUM(H32:H34)</f>
        <v>105.81059904109588</v>
      </c>
      <c r="I35" s="15">
        <f t="shared" si="30"/>
        <v>116.82260389726025</v>
      </c>
      <c r="J35" s="15">
        <f t="shared" si="30"/>
        <v>130.40492798184928</v>
      </c>
      <c r="K35" s="15">
        <f t="shared" si="30"/>
        <v>146.92555732912666</v>
      </c>
    </row>
    <row r="36" spans="2:11" x14ac:dyDescent="0.25">
      <c r="F36" s="110"/>
      <c r="G36" s="7"/>
      <c r="H36" s="7"/>
      <c r="I36" s="7"/>
      <c r="J36" s="7"/>
      <c r="K36" s="7"/>
    </row>
    <row r="37" spans="2:11" x14ac:dyDescent="0.25">
      <c r="B37" s="25" t="s">
        <v>33</v>
      </c>
      <c r="F37" s="110"/>
      <c r="G37" s="7"/>
      <c r="H37" s="7"/>
      <c r="I37" s="7"/>
      <c r="J37" s="7"/>
      <c r="K37" s="7"/>
    </row>
    <row r="38" spans="2:11" x14ac:dyDescent="0.25">
      <c r="B38" t="s">
        <v>34</v>
      </c>
      <c r="F38" s="106">
        <v>0</v>
      </c>
      <c r="G38" s="7"/>
      <c r="H38" s="7"/>
      <c r="I38" s="7"/>
      <c r="J38" s="7"/>
      <c r="K38" s="7"/>
    </row>
    <row r="39" spans="2:11" x14ac:dyDescent="0.25">
      <c r="B39" t="s">
        <v>35</v>
      </c>
      <c r="F39" s="106">
        <v>5</v>
      </c>
      <c r="G39" s="7">
        <f>G110</f>
        <v>5</v>
      </c>
      <c r="H39" s="7">
        <f t="shared" ref="H39:K39" si="31">H110</f>
        <v>5</v>
      </c>
      <c r="I39" s="7">
        <f t="shared" si="31"/>
        <v>5</v>
      </c>
      <c r="J39" s="7">
        <f t="shared" si="31"/>
        <v>5</v>
      </c>
      <c r="K39" s="7">
        <f t="shared" si="31"/>
        <v>0</v>
      </c>
    </row>
    <row r="40" spans="2:11" x14ac:dyDescent="0.25">
      <c r="B40" t="s">
        <v>36</v>
      </c>
      <c r="F40" s="106">
        <v>10</v>
      </c>
      <c r="G40" s="7">
        <f>G87</f>
        <v>11.796164383561644</v>
      </c>
      <c r="H40" s="7">
        <f t="shared" ref="H40:K40" si="32">H87</f>
        <v>13.56558904109589</v>
      </c>
      <c r="I40" s="7">
        <f t="shared" si="32"/>
        <v>15.600427397260274</v>
      </c>
      <c r="J40" s="7">
        <f t="shared" si="32"/>
        <v>17.940491506849309</v>
      </c>
      <c r="K40" s="7">
        <f t="shared" si="32"/>
        <v>20.631565232876707</v>
      </c>
    </row>
    <row r="41" spans="2:11" x14ac:dyDescent="0.25">
      <c r="B41" s="13" t="s">
        <v>37</v>
      </c>
      <c r="C41" s="13"/>
      <c r="D41" s="13"/>
      <c r="E41" s="13"/>
      <c r="F41" s="111">
        <f>SUM(F38:F40)</f>
        <v>15</v>
      </c>
      <c r="G41" s="31">
        <f>SUM(G38:G40)</f>
        <v>16.796164383561646</v>
      </c>
      <c r="H41" s="31">
        <f t="shared" ref="H41:K41" si="33">SUM(H38:H40)</f>
        <v>18.56558904109589</v>
      </c>
      <c r="I41" s="31">
        <f t="shared" si="33"/>
        <v>20.600427397260276</v>
      </c>
      <c r="J41" s="31">
        <f t="shared" si="33"/>
        <v>22.940491506849309</v>
      </c>
      <c r="K41" s="31">
        <f t="shared" si="33"/>
        <v>20.631565232876707</v>
      </c>
    </row>
    <row r="42" spans="2:11" x14ac:dyDescent="0.25">
      <c r="B42" t="s">
        <v>38</v>
      </c>
      <c r="F42" s="106">
        <v>20</v>
      </c>
      <c r="G42" s="7">
        <f>G111</f>
        <v>15</v>
      </c>
      <c r="H42" s="7">
        <f t="shared" ref="H42:K42" si="34">H111</f>
        <v>10</v>
      </c>
      <c r="I42" s="7">
        <f t="shared" si="34"/>
        <v>5</v>
      </c>
      <c r="J42" s="7">
        <f t="shared" si="34"/>
        <v>0</v>
      </c>
      <c r="K42" s="7">
        <f t="shared" si="34"/>
        <v>0</v>
      </c>
    </row>
    <row r="43" spans="2:11" ht="15.75" thickBot="1" x14ac:dyDescent="0.3">
      <c r="B43" t="s">
        <v>39</v>
      </c>
      <c r="F43" s="106">
        <v>55</v>
      </c>
      <c r="G43" s="7">
        <f>F43+G49</f>
        <v>65.252399999999994</v>
      </c>
      <c r="H43" s="7">
        <f t="shared" ref="H43:K43" si="35">G43+H49</f>
        <v>77.245009999999994</v>
      </c>
      <c r="I43" s="7">
        <f t="shared" si="35"/>
        <v>91.222176499999989</v>
      </c>
      <c r="J43" s="7">
        <f t="shared" si="35"/>
        <v>107.46443647499999</v>
      </c>
      <c r="K43" s="7">
        <f t="shared" si="35"/>
        <v>126.29399209624998</v>
      </c>
    </row>
    <row r="44" spans="2:11" ht="15.75" thickTop="1" x14ac:dyDescent="0.25">
      <c r="B44" s="28" t="s">
        <v>40</v>
      </c>
      <c r="C44" s="28"/>
      <c r="D44" s="28"/>
      <c r="E44" s="28"/>
      <c r="F44" s="112">
        <f>+F41+F42+F43</f>
        <v>90</v>
      </c>
      <c r="G44" s="32">
        <f>SUM(G41:G43)</f>
        <v>97.04856438356164</v>
      </c>
      <c r="H44" s="32">
        <f t="shared" ref="H44:K44" si="36">SUM(H41:H43)</f>
        <v>105.81059904109588</v>
      </c>
      <c r="I44" s="32">
        <f t="shared" si="36"/>
        <v>116.82260389726027</v>
      </c>
      <c r="J44" s="32">
        <f t="shared" si="36"/>
        <v>130.40492798184928</v>
      </c>
      <c r="K44" s="32">
        <f t="shared" si="36"/>
        <v>146.92555732912669</v>
      </c>
    </row>
    <row r="45" spans="2:11" x14ac:dyDescent="0.25">
      <c r="B45" s="17" t="s">
        <v>41</v>
      </c>
      <c r="F45" s="113">
        <f>+F44-F35</f>
        <v>0</v>
      </c>
      <c r="G45" s="33">
        <f t="shared" ref="G45:K45" si="37">+G44-G35</f>
        <v>0</v>
      </c>
      <c r="H45" s="33">
        <f t="shared" si="37"/>
        <v>0</v>
      </c>
      <c r="I45" s="33">
        <f t="shared" si="37"/>
        <v>0</v>
      </c>
      <c r="J45" s="33">
        <f t="shared" si="37"/>
        <v>0</v>
      </c>
      <c r="K45" s="33">
        <f t="shared" si="37"/>
        <v>0</v>
      </c>
    </row>
    <row r="47" spans="2:11" x14ac:dyDescent="0.25">
      <c r="B47" s="2" t="s">
        <v>42</v>
      </c>
      <c r="C47" s="2"/>
      <c r="D47" s="2"/>
      <c r="E47" s="2"/>
      <c r="F47" s="95"/>
      <c r="G47" s="2"/>
      <c r="H47" s="2"/>
      <c r="I47" s="2"/>
      <c r="J47" s="2"/>
      <c r="K47" s="2"/>
    </row>
    <row r="48" spans="2:11" x14ac:dyDescent="0.25">
      <c r="B48" s="4" t="str">
        <f>+B26</f>
        <v>C$ - MM</v>
      </c>
      <c r="C48" s="4"/>
      <c r="D48" s="4"/>
      <c r="E48" s="5">
        <v>2013</v>
      </c>
      <c r="F48" s="96">
        <v>2014</v>
      </c>
      <c r="G48" s="6">
        <f t="shared" ref="G48:K48" si="38">+F48+1</f>
        <v>2015</v>
      </c>
      <c r="H48" s="6">
        <f t="shared" si="38"/>
        <v>2016</v>
      </c>
      <c r="I48" s="6">
        <f t="shared" si="38"/>
        <v>2017</v>
      </c>
      <c r="J48" s="6">
        <f t="shared" si="38"/>
        <v>2018</v>
      </c>
      <c r="K48" s="6">
        <f t="shared" si="38"/>
        <v>2019</v>
      </c>
    </row>
    <row r="49" spans="2:11" x14ac:dyDescent="0.25">
      <c r="B49" t="s">
        <v>43</v>
      </c>
      <c r="E49" s="9">
        <f>E16</f>
        <v>7.1</v>
      </c>
      <c r="F49" s="98">
        <f t="shared" ref="F49:K49" si="39">F16</f>
        <v>8.52</v>
      </c>
      <c r="G49" s="9">
        <f>G16</f>
        <v>10.252399999999996</v>
      </c>
      <c r="H49" s="9">
        <f t="shared" si="39"/>
        <v>11.992609999999996</v>
      </c>
      <c r="I49" s="9">
        <f t="shared" si="39"/>
        <v>13.977166499999989</v>
      </c>
      <c r="J49" s="9">
        <f t="shared" si="39"/>
        <v>16.242259974999996</v>
      </c>
      <c r="K49" s="9">
        <f t="shared" si="39"/>
        <v>18.829555621249991</v>
      </c>
    </row>
    <row r="50" spans="2:11" x14ac:dyDescent="0.25">
      <c r="B50" t="s">
        <v>7</v>
      </c>
      <c r="E50">
        <f>E12</f>
        <v>0</v>
      </c>
      <c r="F50" s="102">
        <f t="shared" ref="F50" si="40">F12</f>
        <v>0</v>
      </c>
      <c r="G50" s="38">
        <f>-G98</f>
        <v>2.5</v>
      </c>
      <c r="H50" s="38">
        <f t="shared" ref="H50:K50" si="41">-H98</f>
        <v>2.94</v>
      </c>
      <c r="I50" s="38">
        <f t="shared" si="41"/>
        <v>3.4395000000000007</v>
      </c>
      <c r="J50" s="38">
        <f t="shared" si="41"/>
        <v>4.0080750000000007</v>
      </c>
      <c r="K50" s="38">
        <f t="shared" si="41"/>
        <v>4.6566712500000005</v>
      </c>
    </row>
    <row r="51" spans="2:11" x14ac:dyDescent="0.25">
      <c r="B51" t="s">
        <v>65</v>
      </c>
      <c r="G51" s="38">
        <f>-G91</f>
        <v>-1.9857534246575312</v>
      </c>
      <c r="H51" s="38">
        <f t="shared" ref="H51:K51" si="42">-H91</f>
        <v>-5.7978630136986311</v>
      </c>
      <c r="I51" s="38">
        <f t="shared" si="42"/>
        <v>-6.5175424657534222</v>
      </c>
      <c r="J51" s="38">
        <f t="shared" si="42"/>
        <v>-7.3451738356164213</v>
      </c>
      <c r="K51" s="38">
        <f t="shared" si="42"/>
        <v>-8.2969499109589151</v>
      </c>
    </row>
    <row r="52" spans="2:11" x14ac:dyDescent="0.25">
      <c r="B52" t="s">
        <v>44</v>
      </c>
      <c r="G52" s="33"/>
      <c r="H52" s="33"/>
      <c r="I52" s="33"/>
      <c r="J52" s="33"/>
      <c r="K52" s="33"/>
    </row>
    <row r="53" spans="2:11" x14ac:dyDescent="0.25">
      <c r="B53" s="13" t="s">
        <v>45</v>
      </c>
      <c r="C53" s="13"/>
      <c r="D53" s="13"/>
      <c r="E53" s="14">
        <f>SUM(E49:E52)</f>
        <v>7.1</v>
      </c>
      <c r="F53" s="101">
        <f t="shared" ref="F53:K53" si="43">SUM(F49:F52)</f>
        <v>8.52</v>
      </c>
      <c r="G53" s="14">
        <f t="shared" si="43"/>
        <v>10.766646575342465</v>
      </c>
      <c r="H53" s="14">
        <f t="shared" si="43"/>
        <v>9.1347469863013639</v>
      </c>
      <c r="I53" s="14">
        <f t="shared" si="43"/>
        <v>10.899124034246569</v>
      </c>
      <c r="J53" s="14">
        <f t="shared" si="43"/>
        <v>12.905161139383576</v>
      </c>
      <c r="K53" s="14">
        <f t="shared" si="43"/>
        <v>15.189276960291075</v>
      </c>
    </row>
    <row r="54" spans="2:11" x14ac:dyDescent="0.25">
      <c r="G54" s="33"/>
      <c r="H54" s="33"/>
      <c r="I54" s="33"/>
      <c r="J54" s="33"/>
      <c r="K54" s="33"/>
    </row>
    <row r="55" spans="2:11" x14ac:dyDescent="0.25">
      <c r="B55" t="s">
        <v>46</v>
      </c>
      <c r="G55" s="38">
        <f>G21</f>
        <v>-6.9</v>
      </c>
      <c r="H55" s="38">
        <f t="shared" ref="H55:K55" si="44">H21</f>
        <v>-7.9349999999999996</v>
      </c>
      <c r="I55" s="38">
        <f t="shared" si="44"/>
        <v>-9.1252499999999994</v>
      </c>
      <c r="J55" s="38">
        <f t="shared" si="44"/>
        <v>-10.494037499999997</v>
      </c>
      <c r="K55" s="38">
        <f t="shared" si="44"/>
        <v>-12.068143124999997</v>
      </c>
    </row>
    <row r="56" spans="2:11" x14ac:dyDescent="0.25">
      <c r="B56" s="13" t="s">
        <v>47</v>
      </c>
      <c r="C56" s="13"/>
      <c r="D56" s="13"/>
      <c r="E56" s="13"/>
      <c r="F56" s="114"/>
      <c r="G56" s="49">
        <f>SUM(G55)</f>
        <v>-6.9</v>
      </c>
      <c r="H56" s="49">
        <f t="shared" ref="H56:K56" si="45">SUM(H55)</f>
        <v>-7.9349999999999996</v>
      </c>
      <c r="I56" s="49">
        <f t="shared" si="45"/>
        <v>-9.1252499999999994</v>
      </c>
      <c r="J56" s="49">
        <f t="shared" si="45"/>
        <v>-10.494037499999997</v>
      </c>
      <c r="K56" s="49">
        <f t="shared" si="45"/>
        <v>-12.068143124999997</v>
      </c>
    </row>
    <row r="58" spans="2:11" x14ac:dyDescent="0.25">
      <c r="B58" t="s">
        <v>52</v>
      </c>
      <c r="G58" s="33"/>
      <c r="H58" s="33"/>
      <c r="I58" s="33"/>
      <c r="J58" s="33"/>
      <c r="K58" s="33"/>
    </row>
    <row r="59" spans="2:11" x14ac:dyDescent="0.25">
      <c r="B59" t="s">
        <v>48</v>
      </c>
      <c r="G59" s="38">
        <f>G105</f>
        <v>-5</v>
      </c>
      <c r="H59" s="38">
        <f t="shared" ref="H59:K59" si="46">H105</f>
        <v>-5</v>
      </c>
      <c r="I59" s="38">
        <f t="shared" si="46"/>
        <v>-5</v>
      </c>
      <c r="J59" s="38">
        <f t="shared" si="46"/>
        <v>-5</v>
      </c>
      <c r="K59" s="38">
        <f t="shared" si="46"/>
        <v>-5</v>
      </c>
    </row>
    <row r="60" spans="2:11" x14ac:dyDescent="0.25">
      <c r="B60" t="s">
        <v>49</v>
      </c>
      <c r="G60" s="33"/>
      <c r="H60" s="33"/>
      <c r="I60" s="33"/>
      <c r="J60" s="33"/>
      <c r="K60" s="33"/>
    </row>
    <row r="61" spans="2:11" x14ac:dyDescent="0.25">
      <c r="B61" t="s">
        <v>51</v>
      </c>
      <c r="G61" s="33"/>
      <c r="H61" s="33"/>
      <c r="I61" s="33"/>
      <c r="J61" s="33"/>
      <c r="K61" s="33"/>
    </row>
    <row r="62" spans="2:11" x14ac:dyDescent="0.25">
      <c r="B62" s="13" t="s">
        <v>50</v>
      </c>
      <c r="C62" s="13"/>
      <c r="D62" s="13"/>
      <c r="E62" s="13"/>
      <c r="F62" s="114"/>
      <c r="G62" s="49">
        <f>SUM(G58:G61)</f>
        <v>-5</v>
      </c>
      <c r="H62" s="49">
        <f t="shared" ref="H62:K62" si="47">SUM(H58:H61)</f>
        <v>-5</v>
      </c>
      <c r="I62" s="49">
        <f t="shared" si="47"/>
        <v>-5</v>
      </c>
      <c r="J62" s="49">
        <f t="shared" si="47"/>
        <v>-5</v>
      </c>
      <c r="K62" s="49">
        <f t="shared" si="47"/>
        <v>-5</v>
      </c>
    </row>
    <row r="63" spans="2:11" ht="15.75" thickBot="1" x14ac:dyDescent="0.3"/>
    <row r="64" spans="2:11" ht="15.75" thickTop="1" x14ac:dyDescent="0.25">
      <c r="B64" s="28" t="s">
        <v>53</v>
      </c>
      <c r="C64" s="28"/>
      <c r="D64" s="28"/>
      <c r="E64" s="28">
        <f>+E62+E56+E53</f>
        <v>7.1</v>
      </c>
      <c r="F64" s="115">
        <f t="shared" ref="F64" si="48">+F62+F56+F53</f>
        <v>8.52</v>
      </c>
      <c r="G64" s="32">
        <f>G53+G56+G62</f>
        <v>-1.1333534246575354</v>
      </c>
      <c r="H64" s="32">
        <f t="shared" ref="H64:K64" si="49">H53+H56+H62</f>
        <v>-3.8002530136986357</v>
      </c>
      <c r="I64" s="32">
        <f t="shared" si="49"/>
        <v>-3.2261259657534307</v>
      </c>
      <c r="J64" s="32">
        <f t="shared" si="49"/>
        <v>-2.5888763606164211</v>
      </c>
      <c r="K64" s="32">
        <f t="shared" si="49"/>
        <v>-1.8788661647089224</v>
      </c>
    </row>
    <row r="66" spans="2:12" x14ac:dyDescent="0.25">
      <c r="B66" t="s">
        <v>54</v>
      </c>
      <c r="G66" s="9">
        <f>F68</f>
        <v>20</v>
      </c>
      <c r="H66" s="9">
        <f t="shared" ref="H66:K66" si="50">G68</f>
        <v>18.866646575342465</v>
      </c>
      <c r="I66" s="9">
        <f t="shared" si="50"/>
        <v>15.066393561643828</v>
      </c>
      <c r="J66" s="9">
        <f t="shared" si="50"/>
        <v>11.840267595890397</v>
      </c>
      <c r="K66" s="9">
        <f t="shared" si="50"/>
        <v>9.2513912352739762</v>
      </c>
    </row>
    <row r="67" spans="2:12" x14ac:dyDescent="0.25">
      <c r="B67" t="s">
        <v>55</v>
      </c>
      <c r="G67" s="7">
        <f>G64</f>
        <v>-1.1333534246575354</v>
      </c>
      <c r="H67" s="7">
        <f t="shared" ref="H67:K67" si="51">H64</f>
        <v>-3.8002530136986357</v>
      </c>
      <c r="I67" s="7">
        <f t="shared" si="51"/>
        <v>-3.2261259657534307</v>
      </c>
      <c r="J67" s="7">
        <f t="shared" si="51"/>
        <v>-2.5888763606164211</v>
      </c>
      <c r="K67" s="7">
        <f t="shared" si="51"/>
        <v>-1.8788661647089224</v>
      </c>
    </row>
    <row r="68" spans="2:12" x14ac:dyDescent="0.25">
      <c r="B68" s="34" t="s">
        <v>56</v>
      </c>
      <c r="C68" s="34"/>
      <c r="D68" s="34"/>
      <c r="E68" s="34"/>
      <c r="F68" s="116">
        <f>+F28</f>
        <v>20</v>
      </c>
      <c r="G68" s="35">
        <f>+G66+G67</f>
        <v>18.866646575342465</v>
      </c>
      <c r="H68" s="35">
        <f t="shared" ref="H68:K68" si="52">+H66+H67</f>
        <v>15.066393561643828</v>
      </c>
      <c r="I68" s="35">
        <f t="shared" si="52"/>
        <v>11.840267595890397</v>
      </c>
      <c r="J68" s="35">
        <f t="shared" si="52"/>
        <v>9.2513912352739762</v>
      </c>
      <c r="K68" s="35">
        <f t="shared" si="52"/>
        <v>7.3725250705650538</v>
      </c>
    </row>
    <row r="72" spans="2:12" x14ac:dyDescent="0.25">
      <c r="B72" s="37" t="s">
        <v>57</v>
      </c>
      <c r="C72" s="37"/>
      <c r="D72" s="37"/>
      <c r="E72" s="37"/>
      <c r="F72" s="117"/>
      <c r="G72" s="37"/>
      <c r="H72" s="37"/>
      <c r="I72" s="37"/>
      <c r="J72" s="37"/>
      <c r="K72" s="37"/>
    </row>
    <row r="74" spans="2:12" x14ac:dyDescent="0.25">
      <c r="B74" s="2" t="s">
        <v>58</v>
      </c>
      <c r="C74" s="2"/>
      <c r="D74" s="2"/>
      <c r="E74" s="2"/>
      <c r="F74" s="95"/>
      <c r="G74" s="2"/>
      <c r="H74" s="2"/>
      <c r="I74" s="2"/>
      <c r="J74" s="2"/>
      <c r="K74" s="2"/>
    </row>
    <row r="75" spans="2:12" x14ac:dyDescent="0.25">
      <c r="B75" s="4" t="str">
        <f>+B48</f>
        <v>C$ - MM</v>
      </c>
      <c r="C75" s="4"/>
      <c r="D75" s="4"/>
      <c r="E75" s="5">
        <v>2013</v>
      </c>
      <c r="F75" s="96">
        <v>2014</v>
      </c>
      <c r="G75" s="6">
        <f t="shared" ref="G75" si="53">+F75+1</f>
        <v>2015</v>
      </c>
      <c r="H75" s="6">
        <f t="shared" ref="H75" si="54">+G75+1</f>
        <v>2016</v>
      </c>
      <c r="I75" s="6">
        <f t="shared" ref="I75" si="55">+H75+1</f>
        <v>2017</v>
      </c>
      <c r="J75" s="6">
        <f t="shared" ref="J75" si="56">+I75+1</f>
        <v>2018</v>
      </c>
      <c r="K75" s="6">
        <f t="shared" ref="K75" si="57">+J75+1</f>
        <v>2019</v>
      </c>
    </row>
    <row r="76" spans="2:12" x14ac:dyDescent="0.25">
      <c r="B76" t="str">
        <f>+B4</f>
        <v>Sales</v>
      </c>
      <c r="E76">
        <f>+E4</f>
        <v>100</v>
      </c>
      <c r="F76" s="98">
        <f>+F4</f>
        <v>120</v>
      </c>
      <c r="G76" s="9">
        <f>+G4</f>
        <v>138</v>
      </c>
      <c r="H76" s="9">
        <f t="shared" ref="H76:K76" si="58">+H4</f>
        <v>158.69999999999999</v>
      </c>
      <c r="I76" s="9">
        <f t="shared" si="58"/>
        <v>182.50499999999997</v>
      </c>
      <c r="J76" s="9">
        <f t="shared" si="58"/>
        <v>209.88074999999995</v>
      </c>
      <c r="K76" s="9">
        <f t="shared" si="58"/>
        <v>241.36286249999992</v>
      </c>
    </row>
    <row r="77" spans="2:12" x14ac:dyDescent="0.25">
      <c r="B77" t="str">
        <f>+B5</f>
        <v>COGS</v>
      </c>
      <c r="E77" s="38">
        <f>+E5</f>
        <v>-50</v>
      </c>
      <c r="F77" s="118">
        <f>+F5</f>
        <v>-65</v>
      </c>
      <c r="G77" s="38">
        <f>-G5</f>
        <v>-71.760000000000005</v>
      </c>
      <c r="H77" s="38">
        <f t="shared" ref="H77:K77" si="59">-H5</f>
        <v>-82.524000000000001</v>
      </c>
      <c r="I77" s="38">
        <f t="shared" si="59"/>
        <v>-94.902599999999993</v>
      </c>
      <c r="J77" s="38">
        <f t="shared" si="59"/>
        <v>-109.13798999999997</v>
      </c>
      <c r="K77" s="38">
        <f t="shared" si="59"/>
        <v>-125.50868849999996</v>
      </c>
    </row>
    <row r="79" spans="2:12" x14ac:dyDescent="0.25">
      <c r="B79" t="str">
        <f>+B29</f>
        <v>Receivables</v>
      </c>
      <c r="F79" s="118">
        <f>+F29</f>
        <v>10</v>
      </c>
      <c r="G79" s="38">
        <f>G76/365*G80</f>
        <v>11.342465753424658</v>
      </c>
      <c r="H79" s="38">
        <f t="shared" ref="H79:K79" si="60">H76/365*H80</f>
        <v>13.043835616438354</v>
      </c>
      <c r="I79" s="38">
        <f t="shared" si="60"/>
        <v>15.000410958904107</v>
      </c>
      <c r="J79" s="38">
        <f t="shared" si="60"/>
        <v>17.25047260273972</v>
      </c>
      <c r="K79" s="38">
        <f t="shared" si="60"/>
        <v>19.838043493150678</v>
      </c>
    </row>
    <row r="80" spans="2:12" x14ac:dyDescent="0.25">
      <c r="B80" s="17" t="s">
        <v>159</v>
      </c>
      <c r="C80" s="45">
        <f>+Assumptions!D12</f>
        <v>30</v>
      </c>
      <c r="D80" s="17"/>
      <c r="E80" s="17"/>
      <c r="F80" s="119">
        <f>+F79/$F76*365</f>
        <v>30.416666666666664</v>
      </c>
      <c r="G80" s="129">
        <f>$C$80</f>
        <v>30</v>
      </c>
      <c r="H80" s="129">
        <f t="shared" ref="H80:K80" si="61">$C$80</f>
        <v>30</v>
      </c>
      <c r="I80" s="129">
        <f t="shared" si="61"/>
        <v>30</v>
      </c>
      <c r="J80" s="129">
        <f t="shared" si="61"/>
        <v>30</v>
      </c>
      <c r="K80" s="129">
        <f t="shared" si="61"/>
        <v>30</v>
      </c>
      <c r="L80" t="s">
        <v>160</v>
      </c>
    </row>
    <row r="81" spans="2:12" x14ac:dyDescent="0.25">
      <c r="F81" s="118"/>
    </row>
    <row r="82" spans="2:12" x14ac:dyDescent="0.25">
      <c r="B82" t="str">
        <f>+B30</f>
        <v xml:space="preserve">Inventory </v>
      </c>
      <c r="F82" s="118">
        <f>+F30</f>
        <v>30</v>
      </c>
      <c r="G82" s="38">
        <f>-G77/365*G83</f>
        <v>32.439452054794522</v>
      </c>
      <c r="H82" s="38">
        <f t="shared" ref="H82:K82" si="62">-H77/365*H83</f>
        <v>37.305369863013702</v>
      </c>
      <c r="I82" s="38">
        <f t="shared" si="62"/>
        <v>42.901175342465756</v>
      </c>
      <c r="J82" s="38">
        <f t="shared" si="62"/>
        <v>49.336351643835599</v>
      </c>
      <c r="K82" s="38">
        <f t="shared" si="62"/>
        <v>56.736804390410946</v>
      </c>
    </row>
    <row r="83" spans="2:12" x14ac:dyDescent="0.25">
      <c r="B83" s="17" t="s">
        <v>161</v>
      </c>
      <c r="C83" s="45">
        <f>+Assumptions!D13</f>
        <v>165</v>
      </c>
      <c r="D83" s="17"/>
      <c r="E83" s="17"/>
      <c r="F83" s="119">
        <f>+F82/F$77*365</f>
        <v>-168.46153846153848</v>
      </c>
      <c r="G83" s="46">
        <f>$C$83</f>
        <v>165</v>
      </c>
      <c r="H83" s="46">
        <f t="shared" ref="H83:K83" si="63">$C$83</f>
        <v>165</v>
      </c>
      <c r="I83" s="46">
        <f t="shared" si="63"/>
        <v>165</v>
      </c>
      <c r="J83" s="46">
        <f t="shared" si="63"/>
        <v>165</v>
      </c>
      <c r="K83" s="46">
        <f t="shared" si="63"/>
        <v>165</v>
      </c>
      <c r="L83" t="s">
        <v>162</v>
      </c>
    </row>
    <row r="84" spans="2:12" x14ac:dyDescent="0.25">
      <c r="F84" s="118"/>
    </row>
    <row r="85" spans="2:12" x14ac:dyDescent="0.25">
      <c r="B85" t="str">
        <f>+B31</f>
        <v>prepaids</v>
      </c>
      <c r="F85" s="118">
        <f>+F31</f>
        <v>5</v>
      </c>
      <c r="G85" s="38">
        <v>5</v>
      </c>
      <c r="H85" s="38">
        <v>6</v>
      </c>
      <c r="I85" s="38">
        <v>7</v>
      </c>
      <c r="J85" s="38">
        <v>8</v>
      </c>
      <c r="K85" s="38">
        <v>9</v>
      </c>
    </row>
    <row r="86" spans="2:12" x14ac:dyDescent="0.25">
      <c r="F86" s="118"/>
    </row>
    <row r="87" spans="2:12" x14ac:dyDescent="0.25">
      <c r="B87" t="str">
        <f>+B40</f>
        <v>Payables</v>
      </c>
      <c r="F87" s="118">
        <f>+F40</f>
        <v>10</v>
      </c>
      <c r="G87" s="38">
        <f>-G77/365*G88</f>
        <v>11.796164383561644</v>
      </c>
      <c r="H87" s="38">
        <f t="shared" ref="H87:K87" si="64">-H77/365*H88</f>
        <v>13.56558904109589</v>
      </c>
      <c r="I87" s="38">
        <f t="shared" si="64"/>
        <v>15.600427397260274</v>
      </c>
      <c r="J87" s="38">
        <f t="shared" si="64"/>
        <v>17.940491506849309</v>
      </c>
      <c r="K87" s="38">
        <f t="shared" si="64"/>
        <v>20.631565232876707</v>
      </c>
    </row>
    <row r="88" spans="2:12" x14ac:dyDescent="0.25">
      <c r="B88" s="17" t="s">
        <v>64</v>
      </c>
      <c r="C88" s="44">
        <f>+Assumptions!D14</f>
        <v>60</v>
      </c>
      <c r="F88" s="119">
        <f>-F87/F$77*365</f>
        <v>56.15384615384616</v>
      </c>
      <c r="G88" s="46">
        <f>$C$88</f>
        <v>60</v>
      </c>
      <c r="H88" s="46">
        <f t="shared" ref="H88:K88" si="65">$C$88</f>
        <v>60</v>
      </c>
      <c r="I88" s="46">
        <f t="shared" si="65"/>
        <v>60</v>
      </c>
      <c r="J88" s="46">
        <f t="shared" si="65"/>
        <v>60</v>
      </c>
      <c r="K88" s="46">
        <f t="shared" si="65"/>
        <v>60</v>
      </c>
    </row>
    <row r="90" spans="2:12" x14ac:dyDescent="0.25">
      <c r="B90" s="3" t="s">
        <v>58</v>
      </c>
      <c r="C90" s="3"/>
      <c r="D90" s="3"/>
      <c r="E90" s="3"/>
      <c r="F90" s="120">
        <f>+F79+F82+F85-F87</f>
        <v>35</v>
      </c>
      <c r="G90" s="130">
        <f>+G79+G82+G85-G87</f>
        <v>36.985753424657531</v>
      </c>
      <c r="H90" s="130">
        <f t="shared" ref="H90:K90" si="66">+H79+H82+H85-H87</f>
        <v>42.783616438356162</v>
      </c>
      <c r="I90" s="130">
        <f t="shared" si="66"/>
        <v>49.301158904109585</v>
      </c>
      <c r="J90" s="130">
        <f t="shared" si="66"/>
        <v>56.646332739726006</v>
      </c>
      <c r="K90" s="130">
        <f t="shared" si="66"/>
        <v>64.943282650684921</v>
      </c>
      <c r="L90" t="s">
        <v>165</v>
      </c>
    </row>
    <row r="91" spans="2:12" x14ac:dyDescent="0.25">
      <c r="B91" s="3" t="s">
        <v>65</v>
      </c>
      <c r="C91" s="3"/>
      <c r="D91" s="3"/>
      <c r="E91" s="3"/>
      <c r="F91" s="121"/>
      <c r="G91" s="47">
        <f>G90-F90</f>
        <v>1.9857534246575312</v>
      </c>
      <c r="H91" s="47">
        <f t="shared" ref="H91:K91" si="67">H90-G90</f>
        <v>5.7978630136986311</v>
      </c>
      <c r="I91" s="47">
        <f t="shared" si="67"/>
        <v>6.5175424657534222</v>
      </c>
      <c r="J91" s="47">
        <f t="shared" si="67"/>
        <v>7.3451738356164213</v>
      </c>
      <c r="K91" s="47">
        <f t="shared" si="67"/>
        <v>8.2969499109589151</v>
      </c>
    </row>
    <row r="94" spans="2:12" ht="24.95" customHeight="1" x14ac:dyDescent="0.25">
      <c r="B94" s="39" t="s">
        <v>66</v>
      </c>
      <c r="C94" s="39"/>
      <c r="D94" s="39"/>
      <c r="E94" s="39"/>
      <c r="F94" s="122"/>
      <c r="G94" s="39"/>
      <c r="H94" s="39"/>
      <c r="I94" s="39"/>
      <c r="J94" s="39"/>
      <c r="K94" s="39"/>
    </row>
    <row r="95" spans="2:12" x14ac:dyDescent="0.25">
      <c r="B95" s="4" t="str">
        <f>+B75</f>
        <v>C$ - MM</v>
      </c>
      <c r="C95" s="4"/>
      <c r="D95" s="4"/>
      <c r="E95" s="5">
        <v>2013</v>
      </c>
      <c r="F95" s="96">
        <v>2014</v>
      </c>
      <c r="G95" s="6">
        <f t="shared" ref="G95" si="68">+F95+1</f>
        <v>2015</v>
      </c>
      <c r="H95" s="6">
        <f t="shared" ref="H95" si="69">+G95+1</f>
        <v>2016</v>
      </c>
      <c r="I95" s="6">
        <f t="shared" ref="I95" si="70">+H95+1</f>
        <v>2017</v>
      </c>
      <c r="J95" s="6">
        <f t="shared" ref="J95" si="71">+I95+1</f>
        <v>2018</v>
      </c>
      <c r="K95" s="6">
        <f t="shared" ref="K95" si="72">+J95+1</f>
        <v>2019</v>
      </c>
    </row>
    <row r="96" spans="2:12" x14ac:dyDescent="0.25">
      <c r="B96" t="s">
        <v>67</v>
      </c>
      <c r="G96" s="7">
        <f>F99</f>
        <v>25</v>
      </c>
      <c r="H96" s="7">
        <f t="shared" ref="H96:K96" si="73">G99</f>
        <v>29.4</v>
      </c>
      <c r="I96" s="7">
        <f t="shared" si="73"/>
        <v>34.395000000000003</v>
      </c>
      <c r="J96" s="7">
        <f t="shared" si="73"/>
        <v>40.080750000000002</v>
      </c>
      <c r="K96" s="7">
        <f t="shared" si="73"/>
        <v>46.566712500000001</v>
      </c>
    </row>
    <row r="97" spans="2:12" x14ac:dyDescent="0.25">
      <c r="B97" t="s">
        <v>19</v>
      </c>
      <c r="G97" s="9">
        <f>-G21</f>
        <v>6.9</v>
      </c>
      <c r="H97" s="9">
        <f t="shared" ref="H97:K97" si="74">-H21</f>
        <v>7.9349999999999996</v>
      </c>
      <c r="I97" s="9">
        <f t="shared" si="74"/>
        <v>9.1252499999999994</v>
      </c>
      <c r="J97" s="9">
        <f t="shared" si="74"/>
        <v>10.494037499999997</v>
      </c>
      <c r="K97" s="9">
        <f t="shared" si="74"/>
        <v>12.068143124999997</v>
      </c>
    </row>
    <row r="98" spans="2:12" x14ac:dyDescent="0.25">
      <c r="B98" s="11" t="s">
        <v>7</v>
      </c>
      <c r="C98" s="50">
        <f>+Assumptions!D10</f>
        <v>0.1</v>
      </c>
      <c r="D98" s="11"/>
      <c r="E98" s="11"/>
      <c r="F98" s="103"/>
      <c r="G98" s="51">
        <f>-$C$98*G96</f>
        <v>-2.5</v>
      </c>
      <c r="H98" s="51">
        <f t="shared" ref="H98:K98" si="75">-$C$98*H96</f>
        <v>-2.94</v>
      </c>
      <c r="I98" s="51">
        <f t="shared" si="75"/>
        <v>-3.4395000000000007</v>
      </c>
      <c r="J98" s="51">
        <f t="shared" si="75"/>
        <v>-4.0080750000000007</v>
      </c>
      <c r="K98" s="51">
        <f t="shared" si="75"/>
        <v>-4.6566712500000005</v>
      </c>
    </row>
    <row r="99" spans="2:12" x14ac:dyDescent="0.25">
      <c r="B99" s="3" t="s">
        <v>68</v>
      </c>
      <c r="C99" s="3"/>
      <c r="D99" s="3"/>
      <c r="E99" s="3"/>
      <c r="F99" s="109">
        <f>+F33</f>
        <v>25</v>
      </c>
      <c r="G99" s="15">
        <f>SUM(G96:G98)</f>
        <v>29.4</v>
      </c>
      <c r="H99" s="15">
        <f t="shared" ref="H99:K99" si="76">SUM(H96:H98)</f>
        <v>34.395000000000003</v>
      </c>
      <c r="I99" s="15">
        <f t="shared" si="76"/>
        <v>40.080750000000002</v>
      </c>
      <c r="J99" s="15">
        <f t="shared" si="76"/>
        <v>46.566712500000001</v>
      </c>
      <c r="K99" s="15">
        <f t="shared" si="76"/>
        <v>53.978184374999998</v>
      </c>
    </row>
    <row r="102" spans="2:12" ht="17.25" x14ac:dyDescent="0.25">
      <c r="B102" s="39" t="s">
        <v>70</v>
      </c>
      <c r="C102" s="39"/>
      <c r="D102" s="39"/>
      <c r="E102" s="39"/>
      <c r="F102" s="122"/>
      <c r="G102" s="39"/>
      <c r="H102" s="39"/>
      <c r="I102" s="39"/>
      <c r="J102" s="39"/>
      <c r="K102" s="39"/>
    </row>
    <row r="103" spans="2:12" x14ac:dyDescent="0.25">
      <c r="B103" s="4" t="str">
        <f>+$B$95</f>
        <v>C$ - MM</v>
      </c>
      <c r="C103" s="4"/>
      <c r="D103" s="4"/>
      <c r="E103" s="5">
        <v>2013</v>
      </c>
      <c r="F103" s="96">
        <v>2014</v>
      </c>
      <c r="G103" s="6">
        <f t="shared" ref="G103" si="77">+F103+1</f>
        <v>2015</v>
      </c>
      <c r="H103" s="6">
        <f t="shared" ref="H103" si="78">+G103+1</f>
        <v>2016</v>
      </c>
      <c r="I103" s="6">
        <f t="shared" ref="I103" si="79">+H103+1</f>
        <v>2017</v>
      </c>
      <c r="J103" s="6">
        <f t="shared" ref="J103" si="80">+I103+1</f>
        <v>2018</v>
      </c>
      <c r="K103" s="6">
        <f t="shared" ref="K103" si="81">+J103+1</f>
        <v>2019</v>
      </c>
    </row>
    <row r="104" spans="2:12" x14ac:dyDescent="0.25">
      <c r="B104" t="s">
        <v>71</v>
      </c>
      <c r="G104" s="7">
        <f>F106</f>
        <v>25</v>
      </c>
      <c r="H104" s="7">
        <f t="shared" ref="H104:K104" si="82">G106</f>
        <v>20</v>
      </c>
      <c r="I104" s="7">
        <f t="shared" si="82"/>
        <v>15</v>
      </c>
      <c r="J104" s="7">
        <f t="shared" si="82"/>
        <v>10</v>
      </c>
      <c r="K104" s="7">
        <f t="shared" si="82"/>
        <v>5</v>
      </c>
    </row>
    <row r="105" spans="2:12" x14ac:dyDescent="0.25">
      <c r="B105" t="s">
        <v>78</v>
      </c>
      <c r="C105" s="56">
        <f>+Assumptions!D16</f>
        <v>0.2</v>
      </c>
      <c r="G105" s="38">
        <f>-G104*$C$105</f>
        <v>-5</v>
      </c>
      <c r="H105" s="38">
        <f>G105</f>
        <v>-5</v>
      </c>
      <c r="I105" s="38">
        <f t="shared" ref="I105:K105" si="83">H105</f>
        <v>-5</v>
      </c>
      <c r="J105" s="38">
        <f t="shared" si="83"/>
        <v>-5</v>
      </c>
      <c r="K105" s="38">
        <f t="shared" si="83"/>
        <v>-5</v>
      </c>
      <c r="L105" s="38"/>
    </row>
    <row r="106" spans="2:12" x14ac:dyDescent="0.25">
      <c r="B106" t="s">
        <v>72</v>
      </c>
      <c r="C106" s="56"/>
      <c r="F106" s="110">
        <f>+F39+F42</f>
        <v>25</v>
      </c>
      <c r="G106" s="7">
        <f>G104+G105</f>
        <v>20</v>
      </c>
      <c r="H106" s="7">
        <f t="shared" ref="H106:K106" si="84">H104+H105</f>
        <v>15</v>
      </c>
      <c r="I106" s="7">
        <f t="shared" si="84"/>
        <v>10</v>
      </c>
      <c r="J106" s="7">
        <f t="shared" si="84"/>
        <v>5</v>
      </c>
      <c r="K106" s="7">
        <f t="shared" si="84"/>
        <v>0</v>
      </c>
    </row>
    <row r="107" spans="2:12" x14ac:dyDescent="0.25">
      <c r="C107" s="56"/>
    </row>
    <row r="108" spans="2:12" x14ac:dyDescent="0.25">
      <c r="B108" t="s">
        <v>8</v>
      </c>
      <c r="C108" s="56">
        <f>+Assumptions!D17</f>
        <v>0.04</v>
      </c>
      <c r="G108" s="38">
        <f>-G104*$C$108</f>
        <v>-1</v>
      </c>
      <c r="H108" s="38">
        <f t="shared" ref="H108:K108" si="85">-H104*$C$108</f>
        <v>-0.8</v>
      </c>
      <c r="I108" s="38">
        <f t="shared" si="85"/>
        <v>-0.6</v>
      </c>
      <c r="J108" s="38">
        <f t="shared" si="85"/>
        <v>-0.4</v>
      </c>
      <c r="K108" s="38">
        <f t="shared" si="85"/>
        <v>-0.2</v>
      </c>
    </row>
    <row r="110" spans="2:12" x14ac:dyDescent="0.25">
      <c r="B110" t="s">
        <v>73</v>
      </c>
      <c r="G110" s="38">
        <f>-H105</f>
        <v>5</v>
      </c>
      <c r="H110" s="38">
        <f t="shared" ref="H110:K110" si="86">-I105</f>
        <v>5</v>
      </c>
      <c r="I110" s="38">
        <f t="shared" si="86"/>
        <v>5</v>
      </c>
      <c r="J110" s="38">
        <f t="shared" si="86"/>
        <v>5</v>
      </c>
      <c r="K110" s="38">
        <f t="shared" si="86"/>
        <v>0</v>
      </c>
    </row>
    <row r="111" spans="2:12" x14ac:dyDescent="0.25">
      <c r="B111" t="s">
        <v>74</v>
      </c>
      <c r="G111" s="38">
        <f>H106</f>
        <v>15</v>
      </c>
      <c r="H111" s="38">
        <f t="shared" ref="H111:K111" si="87">I106</f>
        <v>10</v>
      </c>
      <c r="I111" s="38">
        <f t="shared" si="87"/>
        <v>5</v>
      </c>
      <c r="J111" s="38">
        <f t="shared" si="87"/>
        <v>0</v>
      </c>
      <c r="K111" s="38">
        <f t="shared" si="87"/>
        <v>0</v>
      </c>
    </row>
    <row r="112" spans="2:12" x14ac:dyDescent="0.25">
      <c r="G112" s="38"/>
      <c r="H112" s="38"/>
      <c r="I112" s="38"/>
      <c r="J112" s="38"/>
      <c r="K112" s="38"/>
    </row>
    <row r="113" spans="2:13" x14ac:dyDescent="0.25">
      <c r="B113" t="s">
        <v>166</v>
      </c>
      <c r="F113" s="102">
        <f>F66</f>
        <v>0</v>
      </c>
      <c r="G113" s="38">
        <f>G66</f>
        <v>20</v>
      </c>
      <c r="H113" s="38">
        <f t="shared" ref="H113:K113" si="88">H66</f>
        <v>18.866646575342465</v>
      </c>
      <c r="I113" s="38">
        <f t="shared" si="88"/>
        <v>15.066393561643828</v>
      </c>
      <c r="J113" s="38">
        <f t="shared" si="88"/>
        <v>11.840267595890397</v>
      </c>
      <c r="K113" s="38">
        <f t="shared" si="88"/>
        <v>9.2513912352739762</v>
      </c>
    </row>
    <row r="114" spans="2:13" x14ac:dyDescent="0.25">
      <c r="B114" t="s">
        <v>167</v>
      </c>
      <c r="F114" s="98">
        <f>F68</f>
        <v>20</v>
      </c>
      <c r="G114" s="38">
        <f>G68</f>
        <v>18.866646575342465</v>
      </c>
      <c r="H114" s="38">
        <f t="shared" ref="H114:K114" si="89">H68</f>
        <v>15.066393561643828</v>
      </c>
      <c r="I114" s="38">
        <f t="shared" si="89"/>
        <v>11.840267595890397</v>
      </c>
      <c r="J114" s="38">
        <f t="shared" si="89"/>
        <v>9.2513912352739762</v>
      </c>
      <c r="K114" s="38">
        <f t="shared" si="89"/>
        <v>7.3725250705650538</v>
      </c>
    </row>
    <row r="115" spans="2:13" x14ac:dyDescent="0.25">
      <c r="B115" t="s">
        <v>169</v>
      </c>
      <c r="C115" s="55">
        <f>Assumptions!D20</f>
        <v>0.05</v>
      </c>
      <c r="G115">
        <f>IF(G113&lt;0,G113*(1*$C$115),0)</f>
        <v>0</v>
      </c>
      <c r="H115">
        <f t="shared" ref="H115:K115" si="90">IF(H113&lt;0,H113*(1*$C$115),0)</f>
        <v>0</v>
      </c>
      <c r="I115">
        <f t="shared" si="90"/>
        <v>0</v>
      </c>
      <c r="J115">
        <f t="shared" si="90"/>
        <v>0</v>
      </c>
      <c r="K115">
        <f t="shared" si="90"/>
        <v>0</v>
      </c>
    </row>
    <row r="116" spans="2:13" x14ac:dyDescent="0.25">
      <c r="B116" t="s">
        <v>168</v>
      </c>
      <c r="C116" s="55">
        <f>Assumptions!D19</f>
        <v>0.01</v>
      </c>
      <c r="G116" s="7">
        <f>IF(G114&gt;0,G114*(1*$C$116),0)</f>
        <v>0.18866646575342466</v>
      </c>
      <c r="H116" s="7">
        <f t="shared" ref="H116:K116" si="91">IF(H114&gt;0,H114*(1*$C$116),0)</f>
        <v>0.15066393561643829</v>
      </c>
      <c r="I116" s="7">
        <f t="shared" si="91"/>
        <v>0.11840267595890397</v>
      </c>
      <c r="J116" s="7">
        <f t="shared" si="91"/>
        <v>9.2513912352739758E-2</v>
      </c>
      <c r="K116" s="7">
        <f t="shared" si="91"/>
        <v>7.3725250705650544E-2</v>
      </c>
    </row>
    <row r="117" spans="2:13" x14ac:dyDescent="0.25">
      <c r="C117" s="55"/>
      <c r="G117" s="7"/>
      <c r="H117" s="7"/>
      <c r="I117" s="7"/>
      <c r="J117" s="7"/>
      <c r="K117" s="7"/>
    </row>
    <row r="118" spans="2:13" s="3" customFormat="1" x14ac:dyDescent="0.25">
      <c r="B118" s="3" t="s">
        <v>132</v>
      </c>
      <c r="C118" s="131"/>
      <c r="F118" s="121"/>
      <c r="G118" s="15">
        <f>G115+G116+G108</f>
        <v>-0.81133353424657528</v>
      </c>
      <c r="H118" s="15">
        <f t="shared" ref="H118:K118" si="92">H115+H116+H108</f>
        <v>-0.64933606438356173</v>
      </c>
      <c r="I118" s="15">
        <f t="shared" si="92"/>
        <v>-0.48159732404109601</v>
      </c>
      <c r="J118" s="15">
        <f t="shared" si="92"/>
        <v>-0.30748608764726026</v>
      </c>
      <c r="K118" s="15">
        <f t="shared" si="92"/>
        <v>-0.12627474929434945</v>
      </c>
    </row>
    <row r="120" spans="2:13" ht="17.25" x14ac:dyDescent="0.25">
      <c r="B120" s="39" t="s">
        <v>79</v>
      </c>
      <c r="C120" s="39"/>
      <c r="D120" s="39"/>
      <c r="E120" s="39"/>
      <c r="F120" s="122"/>
      <c r="G120" s="39"/>
      <c r="H120" s="39"/>
      <c r="I120" s="39"/>
      <c r="J120" s="39"/>
      <c r="K120" s="39"/>
    </row>
    <row r="121" spans="2:13" x14ac:dyDescent="0.25">
      <c r="B121" s="4" t="str">
        <f>+$B$95</f>
        <v>C$ - MM</v>
      </c>
      <c r="C121" s="4"/>
      <c r="D121" s="4"/>
      <c r="E121" s="5">
        <v>2013</v>
      </c>
      <c r="F121" s="96">
        <v>2014</v>
      </c>
      <c r="G121" s="6">
        <f t="shared" ref="G121" si="93">+F121+1</f>
        <v>2015</v>
      </c>
      <c r="H121" s="6">
        <f t="shared" ref="H121" si="94">+G121+1</f>
        <v>2016</v>
      </c>
      <c r="I121" s="6">
        <f t="shared" ref="I121" si="95">+H121+1</f>
        <v>2017</v>
      </c>
      <c r="J121" s="6">
        <f t="shared" ref="J121" si="96">+I121+1</f>
        <v>2018</v>
      </c>
      <c r="K121" s="6">
        <f t="shared" ref="K121" si="97">+J121+1</f>
        <v>2019</v>
      </c>
    </row>
    <row r="122" spans="2:13" x14ac:dyDescent="0.25">
      <c r="B122" t="s">
        <v>80</v>
      </c>
    </row>
    <row r="123" spans="2:13" x14ac:dyDescent="0.25">
      <c r="B123" t="s">
        <v>6</v>
      </c>
      <c r="F123" s="98">
        <f t="shared" ref="F123:K123" si="98">+F10</f>
        <v>12</v>
      </c>
      <c r="G123" s="9">
        <f t="shared" si="98"/>
        <v>17.939999999999994</v>
      </c>
      <c r="H123" s="9">
        <f t="shared" si="98"/>
        <v>20.630999999999997</v>
      </c>
      <c r="I123" s="9">
        <f t="shared" si="98"/>
        <v>23.725649999999984</v>
      </c>
      <c r="J123" s="9">
        <f t="shared" si="98"/>
        <v>27.284497499999993</v>
      </c>
      <c r="K123" s="9">
        <f t="shared" si="98"/>
        <v>31.377172124999987</v>
      </c>
    </row>
    <row r="124" spans="2:13" x14ac:dyDescent="0.25">
      <c r="B124" t="s">
        <v>81</v>
      </c>
      <c r="C124" s="16">
        <f>+C15</f>
        <v>0.28999999999999998</v>
      </c>
      <c r="G124" s="38">
        <f>+(1-$C$124)*G123</f>
        <v>12.737399999999996</v>
      </c>
      <c r="H124" s="38">
        <f t="shared" ref="H124:K124" si="99">+(1-$C$124)*H123</f>
        <v>14.648009999999998</v>
      </c>
      <c r="I124" s="38">
        <f t="shared" si="99"/>
        <v>16.845211499999987</v>
      </c>
      <c r="J124" s="38">
        <f t="shared" si="99"/>
        <v>19.371993224999994</v>
      </c>
      <c r="K124" s="38">
        <f t="shared" si="99"/>
        <v>22.27779220874999</v>
      </c>
    </row>
    <row r="125" spans="2:13" x14ac:dyDescent="0.25">
      <c r="B125" t="s">
        <v>82</v>
      </c>
      <c r="C125" s="16">
        <f>+C124</f>
        <v>0.28999999999999998</v>
      </c>
      <c r="G125" s="38">
        <f>-$C$125*G12</f>
        <v>0.72499999999999998</v>
      </c>
      <c r="H125" s="38">
        <f>-$C$125*H12</f>
        <v>0.85259999999999991</v>
      </c>
      <c r="I125" s="38">
        <f>-$C$125*I12</f>
        <v>0.99745500000000009</v>
      </c>
      <c r="J125" s="38">
        <f>-$C$125*J12</f>
        <v>1.1623417500000002</v>
      </c>
      <c r="K125" s="38">
        <f>-$C$125*K12</f>
        <v>1.3504346625000001</v>
      </c>
    </row>
    <row r="126" spans="2:13" x14ac:dyDescent="0.25">
      <c r="B126" t="s">
        <v>19</v>
      </c>
      <c r="G126" s="9">
        <f>+G21</f>
        <v>-6.9</v>
      </c>
      <c r="H126" s="9">
        <f t="shared" ref="H126:K126" si="100">+H21</f>
        <v>-7.9349999999999996</v>
      </c>
      <c r="I126" s="9">
        <f t="shared" si="100"/>
        <v>-9.1252499999999994</v>
      </c>
      <c r="J126" s="9">
        <f t="shared" si="100"/>
        <v>-10.494037499999997</v>
      </c>
      <c r="K126" s="9">
        <f t="shared" si="100"/>
        <v>-12.068143124999997</v>
      </c>
    </row>
    <row r="127" spans="2:13" x14ac:dyDescent="0.25">
      <c r="B127" t="str">
        <f>" -Change in WC"</f>
        <v xml:space="preserve"> -Change in WC</v>
      </c>
      <c r="G127" s="38">
        <f>-G91</f>
        <v>-1.9857534246575312</v>
      </c>
      <c r="H127" s="38">
        <f t="shared" ref="H127:K127" si="101">-H91</f>
        <v>-5.7978630136986311</v>
      </c>
      <c r="I127" s="38">
        <f t="shared" si="101"/>
        <v>-6.5175424657534222</v>
      </c>
      <c r="J127" s="38">
        <f t="shared" si="101"/>
        <v>-7.3451738356164213</v>
      </c>
      <c r="K127" s="38">
        <f t="shared" si="101"/>
        <v>-8.2969499109589151</v>
      </c>
    </row>
    <row r="128" spans="2:13" x14ac:dyDescent="0.25">
      <c r="B128" s="13" t="s">
        <v>80</v>
      </c>
      <c r="C128" s="13" t="s">
        <v>87</v>
      </c>
      <c r="D128" s="13" t="s">
        <v>88</v>
      </c>
      <c r="E128" s="13"/>
      <c r="F128" s="114"/>
      <c r="G128" s="49">
        <f>+G124+G125+G126+G127</f>
        <v>4.5766465753424637</v>
      </c>
      <c r="H128" s="49">
        <f t="shared" ref="H128:K128" si="102">+H124+H125+H126+H127</f>
        <v>1.7677469863013675</v>
      </c>
      <c r="I128" s="49">
        <f t="shared" si="102"/>
        <v>2.1998740342465641</v>
      </c>
      <c r="J128" s="49">
        <f t="shared" si="102"/>
        <v>2.6951236393835742</v>
      </c>
      <c r="K128" s="49">
        <f t="shared" si="102"/>
        <v>3.263133835291077</v>
      </c>
      <c r="L128" s="58">
        <f>+K128*(1+D129)</f>
        <v>3.3610278503498092</v>
      </c>
      <c r="M128" t="s">
        <v>172</v>
      </c>
    </row>
    <row r="129" spans="2:13" x14ac:dyDescent="0.25">
      <c r="C129" s="56">
        <f>+Assumptions!H3</f>
        <v>0.12</v>
      </c>
      <c r="D129" s="56">
        <v>0.03</v>
      </c>
      <c r="L129" s="38">
        <f>+L128/(C129-D129)</f>
        <v>37.344753892775657</v>
      </c>
      <c r="M129" t="s">
        <v>86</v>
      </c>
    </row>
    <row r="130" spans="2:13" x14ac:dyDescent="0.25">
      <c r="B130" t="s">
        <v>89</v>
      </c>
      <c r="G130">
        <v>1</v>
      </c>
      <c r="H130">
        <f>+G130+1</f>
        <v>2</v>
      </c>
      <c r="I130">
        <f t="shared" ref="I130:K130" si="103">+H130+1</f>
        <v>3</v>
      </c>
      <c r="J130">
        <f t="shared" si="103"/>
        <v>4</v>
      </c>
      <c r="K130">
        <f t="shared" si="103"/>
        <v>5</v>
      </c>
    </row>
    <row r="131" spans="2:13" ht="15.75" thickBot="1" x14ac:dyDescent="0.3">
      <c r="G131" s="62">
        <f>1/(1+$C$129)^G130</f>
        <v>0.89285714285714279</v>
      </c>
      <c r="H131" s="62">
        <f t="shared" ref="H131:K131" si="104">1/(1+$C$129)^H130</f>
        <v>0.79719387755102034</v>
      </c>
      <c r="I131" s="62">
        <f t="shared" si="104"/>
        <v>0.71178024781341087</v>
      </c>
      <c r="J131" s="62">
        <f t="shared" si="104"/>
        <v>0.63551807840483121</v>
      </c>
      <c r="K131" s="62">
        <f t="shared" si="104"/>
        <v>0.56742685571859919</v>
      </c>
      <c r="L131" s="62">
        <f>+K131</f>
        <v>0.56742685571859919</v>
      </c>
    </row>
    <row r="132" spans="2:13" ht="15.75" thickBot="1" x14ac:dyDescent="0.3">
      <c r="B132" s="64" t="s">
        <v>90</v>
      </c>
      <c r="C132" s="65">
        <f>SUM(G132:L132)</f>
        <v>31.816161392195507</v>
      </c>
      <c r="G132" s="38">
        <f>+G128*G131</f>
        <v>4.0862915851271993</v>
      </c>
      <c r="H132" s="38">
        <f t="shared" ref="H132:K132" si="105">+H128*H131</f>
        <v>1.4092370745387175</v>
      </c>
      <c r="I132" s="38">
        <f t="shared" si="105"/>
        <v>1.5658268852543074</v>
      </c>
      <c r="J132" s="38">
        <f t="shared" si="105"/>
        <v>1.7127997963644843</v>
      </c>
      <c r="K132" s="38">
        <f t="shared" si="105"/>
        <v>1.8515897719481891</v>
      </c>
      <c r="L132" s="38">
        <f>+L129*L131</f>
        <v>21.190416278962608</v>
      </c>
    </row>
    <row r="134" spans="2:13" x14ac:dyDescent="0.25">
      <c r="C134" s="61">
        <f>+C132/F123</f>
        <v>2.6513467826829591</v>
      </c>
      <c r="K134" s="33"/>
    </row>
    <row r="136" spans="2:13" x14ac:dyDescent="0.25">
      <c r="B136" t="s">
        <v>173</v>
      </c>
    </row>
  </sheetData>
  <conditionalFormatting sqref="F45:K45">
    <cfRule type="cellIs" dxfId="2" priority="1" operator="not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</sheetPr>
  <dimension ref="B1:L198"/>
  <sheetViews>
    <sheetView topLeftCell="A20" zoomScaleNormal="100" workbookViewId="0">
      <selection activeCell="B42" sqref="B42"/>
    </sheetView>
  </sheetViews>
  <sheetFormatPr defaultRowHeight="15" x14ac:dyDescent="0.25"/>
  <cols>
    <col min="2" max="2" width="26.140625" bestFit="1" customWidth="1"/>
    <col min="7" max="7" width="10" customWidth="1"/>
  </cols>
  <sheetData>
    <row r="1" spans="2:5" x14ac:dyDescent="0.25">
      <c r="B1" t="s">
        <v>174</v>
      </c>
    </row>
    <row r="2" spans="2:5" x14ac:dyDescent="0.25">
      <c r="B2" t="s">
        <v>175</v>
      </c>
    </row>
    <row r="3" spans="2:5" x14ac:dyDescent="0.25">
      <c r="B3" t="s">
        <v>176</v>
      </c>
    </row>
    <row r="5" spans="2:5" x14ac:dyDescent="0.25">
      <c r="B5" t="s">
        <v>103</v>
      </c>
      <c r="D5" s="41">
        <v>100</v>
      </c>
    </row>
    <row r="6" spans="2:5" x14ac:dyDescent="0.25">
      <c r="B6" t="s">
        <v>119</v>
      </c>
      <c r="C6" s="70">
        <f>+Assumptions!H17</f>
        <v>0.02</v>
      </c>
      <c r="D6">
        <f>+D5*C6</f>
        <v>2</v>
      </c>
    </row>
    <row r="7" spans="2:5" x14ac:dyDescent="0.25">
      <c r="B7" t="s">
        <v>121</v>
      </c>
      <c r="C7" s="70"/>
      <c r="D7">
        <f>+D5+D6</f>
        <v>102</v>
      </c>
    </row>
    <row r="9" spans="2:5" x14ac:dyDescent="0.25">
      <c r="B9" t="s">
        <v>104</v>
      </c>
      <c r="D9" s="9">
        <f>+F29</f>
        <v>12</v>
      </c>
    </row>
    <row r="10" spans="2:5" ht="15" customHeight="1" x14ac:dyDescent="0.25">
      <c r="B10" s="2" t="s">
        <v>109</v>
      </c>
      <c r="C10" s="39"/>
      <c r="D10" s="71"/>
      <c r="E10" s="39"/>
    </row>
    <row r="11" spans="2:5" ht="15" customHeight="1" x14ac:dyDescent="0.25">
      <c r="B11" s="23"/>
      <c r="C11" s="4"/>
      <c r="D11" s="4" t="s">
        <v>110</v>
      </c>
      <c r="E11" s="5" t="s">
        <v>111</v>
      </c>
    </row>
    <row r="12" spans="2:5" ht="15" customHeight="1" x14ac:dyDescent="0.25">
      <c r="B12" t="s">
        <v>105</v>
      </c>
      <c r="C12" s="73">
        <f>+Assumptions!H7</f>
        <v>2.5</v>
      </c>
      <c r="D12" s="38">
        <f>+C12*D9</f>
        <v>30</v>
      </c>
      <c r="E12" s="38">
        <f>+MIN(D12,D15)</f>
        <v>30</v>
      </c>
    </row>
    <row r="13" spans="2:5" ht="15" customHeight="1" x14ac:dyDescent="0.25">
      <c r="B13" t="s">
        <v>106</v>
      </c>
      <c r="C13" s="73">
        <f>+Assumptions!H10</f>
        <v>1</v>
      </c>
      <c r="D13" s="38">
        <f>+C13*D9</f>
        <v>12</v>
      </c>
      <c r="E13" s="38">
        <f>+E14-E12</f>
        <v>12</v>
      </c>
    </row>
    <row r="14" spans="2:5" ht="15" customHeight="1" x14ac:dyDescent="0.25">
      <c r="B14" t="s">
        <v>108</v>
      </c>
      <c r="C14" s="73"/>
      <c r="D14" s="38">
        <f>+D12+D13</f>
        <v>42</v>
      </c>
      <c r="E14" s="38">
        <f>+IF(D14&gt;D15,D15,D14)</f>
        <v>42</v>
      </c>
    </row>
    <row r="15" spans="2:5" ht="15" customHeight="1" x14ac:dyDescent="0.25">
      <c r="B15" t="s">
        <v>107</v>
      </c>
      <c r="C15" s="74">
        <f>+Assumptions!H14</f>
        <v>0.6</v>
      </c>
      <c r="D15" s="38">
        <f>+C15*D5</f>
        <v>60</v>
      </c>
      <c r="E15" s="38"/>
    </row>
    <row r="16" spans="2:5" ht="15" customHeight="1" x14ac:dyDescent="0.25">
      <c r="B16" t="s">
        <v>112</v>
      </c>
      <c r="C16" s="61"/>
      <c r="D16" s="38">
        <f t="shared" ref="D16" si="0">+D7-D14</f>
        <v>60</v>
      </c>
      <c r="E16" s="38">
        <f>+D7-E14</f>
        <v>60</v>
      </c>
    </row>
    <row r="17" spans="2:12" x14ac:dyDescent="0.25">
      <c r="C17" s="70"/>
      <c r="D17" s="38"/>
    </row>
    <row r="18" spans="2:12" x14ac:dyDescent="0.25">
      <c r="C18" s="70"/>
      <c r="D18" s="38"/>
    </row>
    <row r="20" spans="2:12" ht="15" customHeight="1" x14ac:dyDescent="0.25">
      <c r="B20" s="2" t="s">
        <v>1</v>
      </c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x14ac:dyDescent="0.25">
      <c r="B21" s="23" t="s">
        <v>20</v>
      </c>
      <c r="C21" s="4"/>
      <c r="D21" s="4"/>
      <c r="E21" s="5">
        <v>2013</v>
      </c>
      <c r="F21" s="5">
        <v>2014</v>
      </c>
      <c r="G21" s="6">
        <f t="shared" ref="G21:K21" si="1">+F21+1</f>
        <v>2015</v>
      </c>
      <c r="H21" s="6">
        <f t="shared" si="1"/>
        <v>2016</v>
      </c>
      <c r="I21" s="6">
        <f t="shared" si="1"/>
        <v>2017</v>
      </c>
      <c r="J21" s="6">
        <f t="shared" si="1"/>
        <v>2018</v>
      </c>
      <c r="K21" s="6">
        <f t="shared" si="1"/>
        <v>2019</v>
      </c>
      <c r="L21" s="6" t="s">
        <v>10</v>
      </c>
    </row>
    <row r="22" spans="2:12" x14ac:dyDescent="0.25">
      <c r="B22" s="3" t="str">
        <f>+'Raw data'!C4</f>
        <v>Sales</v>
      </c>
      <c r="C22" s="53">
        <f>+'Company Financials'!C4</f>
        <v>0.15</v>
      </c>
      <c r="D22" s="3"/>
      <c r="E22" s="10">
        <f>+'Company Financials'!E4</f>
        <v>100</v>
      </c>
      <c r="F22" s="10">
        <f>+'Company Financials'!F4</f>
        <v>120</v>
      </c>
      <c r="G22" s="10">
        <f>+'Company Financials'!G4</f>
        <v>138</v>
      </c>
      <c r="H22" s="10">
        <f>+'Company Financials'!H4</f>
        <v>158.69999999999999</v>
      </c>
      <c r="I22" s="10">
        <f>+'Company Financials'!I4</f>
        <v>182.50499999999997</v>
      </c>
      <c r="J22" s="10">
        <f>+'Company Financials'!J4</f>
        <v>209.88074999999995</v>
      </c>
      <c r="K22" s="10">
        <f>+'Company Financials'!K4</f>
        <v>241.36286249999992</v>
      </c>
      <c r="L22" s="36">
        <f>+(K22/F22)^(1/5)-1</f>
        <v>0.14999999999999991</v>
      </c>
    </row>
    <row r="23" spans="2:12" x14ac:dyDescent="0.25">
      <c r="B23" t="str">
        <f>+'Raw data'!C5</f>
        <v>COGS</v>
      </c>
      <c r="E23" s="9">
        <f>+'Company Financials'!E5</f>
        <v>-50</v>
      </c>
      <c r="F23" s="9">
        <f>+'Company Financials'!F5</f>
        <v>-65</v>
      </c>
      <c r="G23" s="9">
        <f t="shared" ref="G23:K23" si="2">+G24-G22</f>
        <v>-71.760000000000005</v>
      </c>
      <c r="H23" s="9">
        <f t="shared" si="2"/>
        <v>-82.524000000000001</v>
      </c>
      <c r="I23" s="9">
        <f t="shared" si="2"/>
        <v>-94.902599999999993</v>
      </c>
      <c r="J23" s="9">
        <f t="shared" si="2"/>
        <v>-109.13798999999997</v>
      </c>
      <c r="K23" s="9">
        <f t="shared" si="2"/>
        <v>-125.50868849999996</v>
      </c>
      <c r="L23" s="36">
        <f t="shared" ref="L23:L29" si="3">+(K23/F23)^(1/5)-1</f>
        <v>0.14064916517495107</v>
      </c>
    </row>
    <row r="24" spans="2:12" x14ac:dyDescent="0.25">
      <c r="B24" s="3" t="s">
        <v>13</v>
      </c>
      <c r="E24" s="10">
        <f>+'Company Financials'!E6</f>
        <v>50</v>
      </c>
      <c r="F24" s="10">
        <f>+'Company Financials'!F6</f>
        <v>55</v>
      </c>
      <c r="G24" s="10">
        <f t="shared" ref="G24:K24" si="4">+G25*G22</f>
        <v>66.239999999999995</v>
      </c>
      <c r="H24" s="10">
        <f t="shared" si="4"/>
        <v>76.175999999999988</v>
      </c>
      <c r="I24" s="10">
        <f t="shared" si="4"/>
        <v>87.602399999999975</v>
      </c>
      <c r="J24" s="10">
        <f t="shared" si="4"/>
        <v>100.74275999999998</v>
      </c>
      <c r="K24" s="10">
        <f t="shared" si="4"/>
        <v>115.85417399999996</v>
      </c>
      <c r="L24" s="36">
        <f t="shared" si="3"/>
        <v>0.16067277897528442</v>
      </c>
    </row>
    <row r="25" spans="2:12" x14ac:dyDescent="0.25">
      <c r="B25" s="17" t="s">
        <v>3</v>
      </c>
      <c r="C25" s="19">
        <f>+'Company Financials'!C7</f>
        <v>0.48</v>
      </c>
      <c r="E25" s="18">
        <f t="shared" ref="E25:F25" si="5">+E24/E22</f>
        <v>0.5</v>
      </c>
      <c r="F25" s="18">
        <f t="shared" si="5"/>
        <v>0.45833333333333331</v>
      </c>
      <c r="G25" s="18">
        <f t="shared" ref="G25:K25" si="6">+$C$25</f>
        <v>0.48</v>
      </c>
      <c r="H25" s="18">
        <f t="shared" si="6"/>
        <v>0.48</v>
      </c>
      <c r="I25" s="18">
        <f t="shared" si="6"/>
        <v>0.48</v>
      </c>
      <c r="J25" s="18">
        <f t="shared" si="6"/>
        <v>0.48</v>
      </c>
      <c r="K25" s="18">
        <f t="shared" si="6"/>
        <v>0.48</v>
      </c>
      <c r="L25" s="36"/>
    </row>
    <row r="26" spans="2:12" x14ac:dyDescent="0.25">
      <c r="B26" t="str">
        <f>+'Raw data'!C7</f>
        <v>S&amp;M</v>
      </c>
      <c r="C26" s="16">
        <f>+'Company Financials'!C8</f>
        <v>0.2</v>
      </c>
      <c r="E26" s="9">
        <f>+'Raw data'!E7</f>
        <v>-20</v>
      </c>
      <c r="F26" s="9">
        <f>+'Raw data'!F7</f>
        <v>-22</v>
      </c>
      <c r="G26" s="9">
        <f t="shared" ref="G26:K27" si="7">-$C26*G$22</f>
        <v>-27.6</v>
      </c>
      <c r="H26" s="9">
        <f t="shared" si="7"/>
        <v>-31.74</v>
      </c>
      <c r="I26" s="9">
        <f t="shared" si="7"/>
        <v>-36.500999999999998</v>
      </c>
      <c r="J26" s="9">
        <f t="shared" si="7"/>
        <v>-41.97614999999999</v>
      </c>
      <c r="K26" s="9">
        <f t="shared" si="7"/>
        <v>-48.272572499999988</v>
      </c>
      <c r="L26" s="36">
        <f t="shared" si="3"/>
        <v>0.17018776375192557</v>
      </c>
    </row>
    <row r="27" spans="2:12" x14ac:dyDescent="0.25">
      <c r="B27" s="72" t="str">
        <f>+'Raw data'!C8</f>
        <v>Opex</v>
      </c>
      <c r="C27" s="92">
        <f>+'Company Financials'!C9</f>
        <v>0.15</v>
      </c>
      <c r="D27" s="72"/>
      <c r="E27" s="91">
        <f>+'Raw data'!E8</f>
        <v>-20</v>
      </c>
      <c r="F27" s="91">
        <f>+'Raw data'!F8</f>
        <v>-21</v>
      </c>
      <c r="G27" s="91">
        <f>-$C27*G$22</f>
        <v>-20.7</v>
      </c>
      <c r="H27" s="91">
        <f>-$C27*H$22</f>
        <v>-23.804999999999996</v>
      </c>
      <c r="I27" s="91">
        <f t="shared" si="7"/>
        <v>-27.375749999999993</v>
      </c>
      <c r="J27" s="91">
        <f t="shared" si="7"/>
        <v>-31.482112499999992</v>
      </c>
      <c r="K27" s="91">
        <f t="shared" si="7"/>
        <v>-36.204429374999989</v>
      </c>
      <c r="L27" s="36">
        <f t="shared" si="3"/>
        <v>0.11508630600991587</v>
      </c>
    </row>
    <row r="28" spans="2:12" x14ac:dyDescent="0.25">
      <c r="B28" s="11" t="s">
        <v>149</v>
      </c>
      <c r="C28" s="93">
        <v>1</v>
      </c>
      <c r="D28" s="11"/>
      <c r="E28" s="12"/>
      <c r="F28" s="12"/>
      <c r="G28" s="12">
        <f t="shared" ref="G28:K28" si="8">-(1-$C$28)*(G22+G23+G26+G27)</f>
        <v>0</v>
      </c>
      <c r="H28" s="12">
        <f t="shared" si="8"/>
        <v>0</v>
      </c>
      <c r="I28" s="12">
        <f t="shared" si="8"/>
        <v>0</v>
      </c>
      <c r="J28" s="12">
        <f t="shared" si="8"/>
        <v>0</v>
      </c>
      <c r="K28" s="12">
        <f t="shared" si="8"/>
        <v>0</v>
      </c>
      <c r="L28" s="36"/>
    </row>
    <row r="29" spans="2:12" x14ac:dyDescent="0.25">
      <c r="B29" s="13" t="str">
        <f>+'Raw data'!C9</f>
        <v>EBITDA</v>
      </c>
      <c r="C29" s="13"/>
      <c r="D29" s="13"/>
      <c r="E29" s="14">
        <f>+'Raw data'!E9</f>
        <v>10</v>
      </c>
      <c r="F29" s="14">
        <f>+'Raw data'!F9</f>
        <v>12</v>
      </c>
      <c r="G29" s="14">
        <f t="shared" ref="G29:K29" si="9">+G24+G26+G27+G28</f>
        <v>17.939999999999994</v>
      </c>
      <c r="H29" s="14">
        <f t="shared" si="9"/>
        <v>20.630999999999997</v>
      </c>
      <c r="I29" s="14">
        <f t="shared" si="9"/>
        <v>23.725649999999984</v>
      </c>
      <c r="J29" s="14">
        <f t="shared" si="9"/>
        <v>27.284497499999993</v>
      </c>
      <c r="K29" s="14">
        <f t="shared" si="9"/>
        <v>31.377172124999987</v>
      </c>
      <c r="L29" s="36">
        <f t="shared" si="3"/>
        <v>0.21195504487105077</v>
      </c>
    </row>
    <row r="30" spans="2:12" x14ac:dyDescent="0.25">
      <c r="B30" t="s">
        <v>7</v>
      </c>
      <c r="G30" s="38">
        <f>+G117</f>
        <v>0</v>
      </c>
      <c r="H30" s="38">
        <f t="shared" ref="H30:K30" si="10">+H117</f>
        <v>0</v>
      </c>
      <c r="I30" s="38">
        <f t="shared" si="10"/>
        <v>0</v>
      </c>
      <c r="J30" s="38">
        <f t="shared" si="10"/>
        <v>0</v>
      </c>
      <c r="K30" s="38">
        <f t="shared" si="10"/>
        <v>0</v>
      </c>
    </row>
    <row r="31" spans="2:12" x14ac:dyDescent="0.25">
      <c r="B31" s="11" t="s">
        <v>8</v>
      </c>
      <c r="C31" s="11"/>
      <c r="D31" s="11"/>
      <c r="E31" s="11"/>
      <c r="F31" s="11"/>
      <c r="G31" s="51">
        <f t="shared" ref="G31:K31" si="11">+G151</f>
        <v>0</v>
      </c>
      <c r="H31" s="51">
        <f t="shared" si="11"/>
        <v>0</v>
      </c>
      <c r="I31" s="51">
        <f t="shared" si="11"/>
        <v>0</v>
      </c>
      <c r="J31" s="51">
        <f t="shared" si="11"/>
        <v>0</v>
      </c>
      <c r="K31" s="51">
        <f t="shared" si="11"/>
        <v>0</v>
      </c>
    </row>
    <row r="32" spans="2:12" x14ac:dyDescent="0.25">
      <c r="B32" t="s">
        <v>15</v>
      </c>
      <c r="E32" s="9">
        <f>+E29+E30+E31</f>
        <v>10</v>
      </c>
      <c r="F32" s="9">
        <f t="shared" ref="F32:K32" si="12">+F29+F30+F31</f>
        <v>12</v>
      </c>
      <c r="G32" s="9">
        <f t="shared" si="12"/>
        <v>17.939999999999994</v>
      </c>
      <c r="H32" s="9">
        <f t="shared" si="12"/>
        <v>20.630999999999997</v>
      </c>
      <c r="I32" s="9">
        <f t="shared" si="12"/>
        <v>23.725649999999984</v>
      </c>
      <c r="J32" s="9">
        <f t="shared" si="12"/>
        <v>27.284497499999993</v>
      </c>
      <c r="K32" s="9">
        <f t="shared" si="12"/>
        <v>31.377172124999987</v>
      </c>
      <c r="L32" s="36">
        <f t="shared" ref="L32" si="13">+(K32/F32)^(1/5)-1</f>
        <v>0.21195504487105077</v>
      </c>
    </row>
    <row r="33" spans="2:12" ht="15.75" thickBot="1" x14ac:dyDescent="0.3">
      <c r="B33" s="20" t="s">
        <v>9</v>
      </c>
      <c r="C33" s="68">
        <f>+'Company Financials'!C15</f>
        <v>0.28999999999999998</v>
      </c>
      <c r="D33" s="20"/>
      <c r="E33" s="22">
        <f>-$C$33*E32</f>
        <v>-2.9</v>
      </c>
      <c r="F33" s="22">
        <f t="shared" ref="F33:K33" si="14">-$C$33*F32</f>
        <v>-3.4799999999999995</v>
      </c>
      <c r="G33" s="22">
        <f t="shared" si="14"/>
        <v>-5.2025999999999977</v>
      </c>
      <c r="H33" s="22">
        <f t="shared" si="14"/>
        <v>-5.9829899999999983</v>
      </c>
      <c r="I33" s="22">
        <f t="shared" si="14"/>
        <v>-6.880438499999995</v>
      </c>
      <c r="J33" s="22">
        <f t="shared" si="14"/>
        <v>-7.9125042749999972</v>
      </c>
      <c r="K33" s="22">
        <f t="shared" si="14"/>
        <v>-9.0993799162499958</v>
      </c>
    </row>
    <row r="34" spans="2:12" ht="15.75" thickTop="1" x14ac:dyDescent="0.25">
      <c r="B34" s="3" t="s">
        <v>16</v>
      </c>
      <c r="C34" s="3"/>
      <c r="D34" s="3"/>
      <c r="E34" s="10">
        <f>+E32+E33</f>
        <v>7.1</v>
      </c>
      <c r="F34" s="10">
        <f t="shared" ref="F34:K34" si="15">+F32+F33</f>
        <v>8.52</v>
      </c>
      <c r="G34" s="10">
        <f t="shared" si="15"/>
        <v>12.737399999999997</v>
      </c>
      <c r="H34" s="10">
        <f t="shared" si="15"/>
        <v>14.648009999999999</v>
      </c>
      <c r="I34" s="10">
        <f t="shared" si="15"/>
        <v>16.845211499999991</v>
      </c>
      <c r="J34" s="10">
        <f t="shared" si="15"/>
        <v>19.371993224999997</v>
      </c>
      <c r="K34" s="10">
        <f t="shared" si="15"/>
        <v>22.277792208749993</v>
      </c>
      <c r="L34" s="36">
        <f t="shared" ref="L34" si="16">+(K34/F34)^(1/5)-1</f>
        <v>0.21195504487105077</v>
      </c>
    </row>
    <row r="37" spans="2:12" x14ac:dyDescent="0.25">
      <c r="B37" s="2" t="s">
        <v>18</v>
      </c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x14ac:dyDescent="0.25">
      <c r="B38" s="4" t="str">
        <f>+B21</f>
        <v>C$ - MM</v>
      </c>
      <c r="C38" s="4"/>
      <c r="D38" s="4"/>
      <c r="E38" s="5">
        <v>2013</v>
      </c>
      <c r="F38" s="5">
        <v>2014</v>
      </c>
      <c r="G38" s="6">
        <f t="shared" ref="G38:K38" si="17">+F38+1</f>
        <v>2015</v>
      </c>
      <c r="H38" s="6">
        <f t="shared" si="17"/>
        <v>2016</v>
      </c>
      <c r="I38" s="6">
        <f t="shared" si="17"/>
        <v>2017</v>
      </c>
      <c r="J38" s="6">
        <f t="shared" si="17"/>
        <v>2018</v>
      </c>
      <c r="K38" s="6">
        <f t="shared" si="17"/>
        <v>2019</v>
      </c>
      <c r="L38" s="6" t="s">
        <v>10</v>
      </c>
    </row>
    <row r="39" spans="2:12" x14ac:dyDescent="0.25">
      <c r="B39" t="s">
        <v>19</v>
      </c>
      <c r="E39" s="9">
        <v>-3</v>
      </c>
      <c r="F39" s="9">
        <v>-4</v>
      </c>
      <c r="G39" s="9">
        <f>-G40*G22</f>
        <v>-6.9</v>
      </c>
      <c r="H39" s="9">
        <f t="shared" ref="H39:K39" si="18">-H40*H22</f>
        <v>-7.9349999999999996</v>
      </c>
      <c r="I39" s="9">
        <f t="shared" si="18"/>
        <v>-9.1252499999999994</v>
      </c>
      <c r="J39" s="9">
        <f t="shared" si="18"/>
        <v>-10.494037499999997</v>
      </c>
      <c r="K39" s="9">
        <f t="shared" si="18"/>
        <v>-12.068143124999997</v>
      </c>
      <c r="L39" s="36">
        <f t="shared" ref="L39" si="19">+(K39/F39)^(1/5)-1</f>
        <v>0.24714253687735344</v>
      </c>
    </row>
    <row r="40" spans="2:12" x14ac:dyDescent="0.25">
      <c r="B40" t="s">
        <v>22</v>
      </c>
      <c r="C40" s="24">
        <f>+Assumptions!D9</f>
        <v>0.05</v>
      </c>
      <c r="E40" s="18">
        <f t="shared" ref="E40:F40" si="20">-E39/E22</f>
        <v>0.03</v>
      </c>
      <c r="F40" s="18">
        <f t="shared" si="20"/>
        <v>3.3333333333333333E-2</v>
      </c>
      <c r="G40" s="18">
        <f>+$C$40</f>
        <v>0.05</v>
      </c>
      <c r="H40" s="18">
        <f t="shared" ref="H40:K40" si="21">+$C$40</f>
        <v>0.05</v>
      </c>
      <c r="I40" s="18">
        <f t="shared" si="21"/>
        <v>0.05</v>
      </c>
      <c r="J40" s="18">
        <f t="shared" si="21"/>
        <v>0.05</v>
      </c>
      <c r="K40" s="18">
        <f t="shared" si="21"/>
        <v>0.05</v>
      </c>
    </row>
    <row r="43" spans="2:12" x14ac:dyDescent="0.25">
      <c r="B43" s="2" t="s">
        <v>23</v>
      </c>
      <c r="C43" s="2"/>
      <c r="D43" s="2"/>
      <c r="E43" s="2"/>
      <c r="F43" s="2"/>
      <c r="G43" s="2"/>
      <c r="H43" s="2"/>
      <c r="I43" s="2"/>
      <c r="J43" s="2"/>
      <c r="K43" s="2"/>
    </row>
    <row r="44" spans="2:12" x14ac:dyDescent="0.25">
      <c r="B44" s="4" t="str">
        <f>+B38</f>
        <v>C$ - MM</v>
      </c>
      <c r="C44" s="4"/>
      <c r="D44" s="4"/>
      <c r="E44" s="5">
        <v>2013</v>
      </c>
      <c r="F44" s="5">
        <v>2014</v>
      </c>
      <c r="G44" s="6">
        <f t="shared" ref="G44:K44" si="22">+F44+1</f>
        <v>2015</v>
      </c>
      <c r="H44" s="6">
        <f t="shared" si="22"/>
        <v>2016</v>
      </c>
      <c r="I44" s="6">
        <f t="shared" si="22"/>
        <v>2017</v>
      </c>
      <c r="J44" s="6">
        <f t="shared" si="22"/>
        <v>2018</v>
      </c>
      <c r="K44" s="6">
        <f t="shared" si="22"/>
        <v>2019</v>
      </c>
    </row>
    <row r="45" spans="2:12" x14ac:dyDescent="0.25">
      <c r="B45" s="25" t="s">
        <v>32</v>
      </c>
      <c r="C45" s="25"/>
      <c r="D45" s="25"/>
      <c r="E45" s="26"/>
      <c r="F45" s="26"/>
      <c r="G45" s="27"/>
      <c r="H45" s="27"/>
      <c r="I45" s="27"/>
      <c r="J45" s="27"/>
      <c r="K45" s="27"/>
    </row>
    <row r="46" spans="2:12" x14ac:dyDescent="0.25">
      <c r="B46" t="s">
        <v>24</v>
      </c>
      <c r="E46" s="9"/>
      <c r="F46" s="8">
        <f>+'LBO Model Acquisition BS'!K18</f>
        <v>5.5511151231257827E-15</v>
      </c>
      <c r="G46" s="7">
        <f>+G87</f>
        <v>-26.092463013698634</v>
      </c>
      <c r="H46" s="7">
        <f t="shared" ref="H46:K46" si="23">+H87</f>
        <v>-28.668932465753411</v>
      </c>
      <c r="I46" s="7">
        <f t="shared" si="23"/>
        <v>-31.631872335616421</v>
      </c>
      <c r="J46" s="7">
        <f t="shared" si="23"/>
        <v>-35.039253185958877</v>
      </c>
      <c r="K46" s="7">
        <f t="shared" si="23"/>
        <v>-38.95774116385271</v>
      </c>
    </row>
    <row r="47" spans="2:12" x14ac:dyDescent="0.25">
      <c r="B47" t="s">
        <v>25</v>
      </c>
      <c r="C47" s="24"/>
      <c r="E47" s="18"/>
      <c r="F47" s="8">
        <f>+'LBO Model Acquisition BS'!K19</f>
        <v>10</v>
      </c>
      <c r="G47" s="48">
        <f>+G98</f>
        <v>11.342465753424657</v>
      </c>
      <c r="H47" s="48">
        <f t="shared" ref="H47:K47" si="24">+H98</f>
        <v>13.043835616438356</v>
      </c>
      <c r="I47" s="48">
        <f t="shared" si="24"/>
        <v>15.000410958904107</v>
      </c>
      <c r="J47" s="48">
        <f t="shared" si="24"/>
        <v>17.250472602739723</v>
      </c>
      <c r="K47" s="48">
        <f t="shared" si="24"/>
        <v>19.838043493150678</v>
      </c>
    </row>
    <row r="48" spans="2:12" x14ac:dyDescent="0.25">
      <c r="B48" t="s">
        <v>26</v>
      </c>
      <c r="F48" s="8">
        <f>+'LBO Model Acquisition BS'!K20</f>
        <v>30</v>
      </c>
      <c r="G48" s="7">
        <f>+G101</f>
        <v>62.38356164383562</v>
      </c>
      <c r="H48" s="7">
        <f t="shared" ref="H48:K48" si="25">+H101</f>
        <v>71.741095890410946</v>
      </c>
      <c r="I48" s="7">
        <f t="shared" si="25"/>
        <v>82.502260273972581</v>
      </c>
      <c r="J48" s="7">
        <f t="shared" si="25"/>
        <v>94.877599315068466</v>
      </c>
      <c r="K48" s="7">
        <f t="shared" si="25"/>
        <v>109.10923921232873</v>
      </c>
    </row>
    <row r="49" spans="2:11" x14ac:dyDescent="0.25">
      <c r="B49" s="11" t="s">
        <v>27</v>
      </c>
      <c r="C49" s="11"/>
      <c r="D49" s="11"/>
      <c r="E49" s="11"/>
      <c r="F49" s="29">
        <f>+'LBO Model Acquisition BS'!K21</f>
        <v>5</v>
      </c>
      <c r="G49" s="29">
        <f>+G104</f>
        <v>5</v>
      </c>
      <c r="H49" s="29">
        <f t="shared" ref="H49:K49" si="26">+H104</f>
        <v>5</v>
      </c>
      <c r="I49" s="29">
        <f t="shared" si="26"/>
        <v>5</v>
      </c>
      <c r="J49" s="29">
        <f t="shared" si="26"/>
        <v>5</v>
      </c>
      <c r="K49" s="29">
        <f t="shared" si="26"/>
        <v>5</v>
      </c>
    </row>
    <row r="50" spans="2:11" x14ac:dyDescent="0.25">
      <c r="B50" s="3" t="s">
        <v>28</v>
      </c>
      <c r="C50" s="3"/>
      <c r="D50" s="3"/>
      <c r="E50" s="3"/>
      <c r="F50" s="30">
        <f t="shared" ref="F50:G50" si="27">SUM(F46:F49)</f>
        <v>45.000000000000007</v>
      </c>
      <c r="G50" s="52">
        <f t="shared" si="27"/>
        <v>52.633564383561641</v>
      </c>
      <c r="H50" s="52">
        <f t="shared" ref="H50:K50" si="28">SUM(H46:H49)</f>
        <v>61.11599904109589</v>
      </c>
      <c r="I50" s="52">
        <f t="shared" si="28"/>
        <v>70.870798897260272</v>
      </c>
      <c r="J50" s="52">
        <f t="shared" si="28"/>
        <v>82.088818731849315</v>
      </c>
      <c r="K50" s="52">
        <f t="shared" si="28"/>
        <v>94.989541541626693</v>
      </c>
    </row>
    <row r="51" spans="2:11" x14ac:dyDescent="0.25">
      <c r="B51" t="s">
        <v>29</v>
      </c>
      <c r="F51" s="8">
        <f>+'LBO Model Acquisition BS'!K23</f>
        <v>25</v>
      </c>
      <c r="G51" s="7">
        <f>+G118</f>
        <v>0</v>
      </c>
      <c r="H51" s="7">
        <f t="shared" ref="H51:K51" si="29">+H118</f>
        <v>0</v>
      </c>
      <c r="I51" s="7">
        <f t="shared" si="29"/>
        <v>0</v>
      </c>
      <c r="J51" s="7">
        <f t="shared" si="29"/>
        <v>0</v>
      </c>
      <c r="K51" s="7">
        <f t="shared" si="29"/>
        <v>0</v>
      </c>
    </row>
    <row r="52" spans="2:11" ht="15.75" thickBot="1" x14ac:dyDescent="0.3">
      <c r="B52" s="20" t="s">
        <v>30</v>
      </c>
      <c r="C52" s="20"/>
      <c r="D52" s="20"/>
      <c r="E52" s="20"/>
      <c r="F52" s="22"/>
      <c r="G52" s="22"/>
      <c r="H52" s="22"/>
      <c r="I52" s="22"/>
      <c r="J52" s="22"/>
      <c r="K52" s="22"/>
    </row>
    <row r="53" spans="2:11" ht="15.75" thickTop="1" x14ac:dyDescent="0.25">
      <c r="B53" s="3" t="s">
        <v>31</v>
      </c>
      <c r="C53" s="3"/>
      <c r="D53" s="3"/>
      <c r="E53" s="3"/>
      <c r="F53" s="15">
        <f t="shared" ref="F53:G53" si="30">+F50+F51+F52</f>
        <v>70</v>
      </c>
      <c r="G53" s="15">
        <f t="shared" si="30"/>
        <v>52.633564383561641</v>
      </c>
      <c r="H53" s="15">
        <f t="shared" ref="H53:K53" si="31">+H50+H51+H52</f>
        <v>61.11599904109589</v>
      </c>
      <c r="I53" s="15">
        <f t="shared" si="31"/>
        <v>70.870798897260272</v>
      </c>
      <c r="J53" s="15">
        <f t="shared" si="31"/>
        <v>82.088818731849315</v>
      </c>
      <c r="K53" s="15">
        <f t="shared" si="31"/>
        <v>94.989541541626693</v>
      </c>
    </row>
    <row r="54" spans="2:11" x14ac:dyDescent="0.25">
      <c r="F54" s="7"/>
      <c r="G54" s="7"/>
      <c r="H54" s="7"/>
      <c r="I54" s="7"/>
      <c r="J54" s="7"/>
      <c r="K54" s="7"/>
    </row>
    <row r="55" spans="2:11" x14ac:dyDescent="0.25">
      <c r="B55" s="25" t="s">
        <v>33</v>
      </c>
      <c r="F55" s="7"/>
      <c r="G55" s="7"/>
      <c r="H55" s="7"/>
      <c r="I55" s="7"/>
      <c r="J55" s="7"/>
      <c r="K55" s="7"/>
    </row>
    <row r="56" spans="2:11" x14ac:dyDescent="0.25">
      <c r="B56" t="s">
        <v>34</v>
      </c>
      <c r="F56" s="7">
        <f>+'LBO Model Acquisition BS'!K28</f>
        <v>0</v>
      </c>
      <c r="G56" s="7"/>
      <c r="H56" s="7"/>
      <c r="I56" s="7"/>
      <c r="J56" s="7"/>
      <c r="K56" s="7"/>
    </row>
    <row r="57" spans="2:11" x14ac:dyDescent="0.25">
      <c r="B57" t="s">
        <v>35</v>
      </c>
      <c r="F57" s="8">
        <f>+'LBO Model Acquisition BS'!K29</f>
        <v>0</v>
      </c>
      <c r="G57" s="7">
        <f>+G130</f>
        <v>0</v>
      </c>
      <c r="H57" s="7">
        <f t="shared" ref="H57:K57" si="32">+H130</f>
        <v>0</v>
      </c>
      <c r="I57" s="7">
        <f t="shared" si="32"/>
        <v>0</v>
      </c>
      <c r="J57" s="7">
        <f t="shared" si="32"/>
        <v>0</v>
      </c>
      <c r="K57" s="7">
        <f t="shared" si="32"/>
        <v>0</v>
      </c>
    </row>
    <row r="58" spans="2:11" x14ac:dyDescent="0.25">
      <c r="B58" t="s">
        <v>36</v>
      </c>
      <c r="F58" s="8">
        <f>+'LBO Model Acquisition BS'!K30</f>
        <v>10</v>
      </c>
      <c r="G58" s="7">
        <f>+G106</f>
        <v>11.796164383561646</v>
      </c>
      <c r="H58" s="7">
        <f t="shared" ref="H58:K58" si="33">+H106</f>
        <v>13.565589041095892</v>
      </c>
      <c r="I58" s="7">
        <f t="shared" si="33"/>
        <v>15.600427397260274</v>
      </c>
      <c r="J58" s="7">
        <f t="shared" si="33"/>
        <v>17.940491506849312</v>
      </c>
      <c r="K58" s="7">
        <f t="shared" si="33"/>
        <v>20.631565232876707</v>
      </c>
    </row>
    <row r="59" spans="2:11" x14ac:dyDescent="0.25">
      <c r="B59" s="13" t="s">
        <v>37</v>
      </c>
      <c r="C59" s="13"/>
      <c r="D59" s="13"/>
      <c r="E59" s="13"/>
      <c r="F59" s="31">
        <f t="shared" ref="F59:G59" si="34">SUM(F56:F58)</f>
        <v>10</v>
      </c>
      <c r="G59" s="31">
        <f t="shared" si="34"/>
        <v>11.796164383561646</v>
      </c>
      <c r="H59" s="31">
        <f t="shared" ref="H59:K59" si="35">SUM(H56:H58)</f>
        <v>13.565589041095892</v>
      </c>
      <c r="I59" s="31">
        <f t="shared" si="35"/>
        <v>15.600427397260274</v>
      </c>
      <c r="J59" s="31">
        <f t="shared" si="35"/>
        <v>17.940491506849312</v>
      </c>
      <c r="K59" s="31">
        <f t="shared" si="35"/>
        <v>20.631565232876707</v>
      </c>
    </row>
    <row r="60" spans="2:11" x14ac:dyDescent="0.25">
      <c r="B60" t="s">
        <v>38</v>
      </c>
      <c r="F60" s="8">
        <f>+'LBO Model Acquisition BS'!K32</f>
        <v>30</v>
      </c>
      <c r="G60" s="7">
        <f>+G131</f>
        <v>0</v>
      </c>
      <c r="H60" s="7">
        <f t="shared" ref="H60:K60" si="36">+H131</f>
        <v>0</v>
      </c>
      <c r="I60" s="7">
        <f t="shared" si="36"/>
        <v>0</v>
      </c>
      <c r="J60" s="7">
        <f t="shared" si="36"/>
        <v>0</v>
      </c>
      <c r="K60" s="7">
        <f t="shared" si="36"/>
        <v>0</v>
      </c>
    </row>
    <row r="61" spans="2:11" x14ac:dyDescent="0.25">
      <c r="B61" t="s">
        <v>128</v>
      </c>
      <c r="F61" s="8">
        <f>+'LBO Model Acquisition BS'!K33</f>
        <v>12</v>
      </c>
      <c r="G61" s="7">
        <f t="shared" ref="G61:K61" si="37">+G137</f>
        <v>0</v>
      </c>
      <c r="H61" s="7">
        <f t="shared" si="37"/>
        <v>0</v>
      </c>
      <c r="I61" s="7">
        <f t="shared" si="37"/>
        <v>0</v>
      </c>
      <c r="J61" s="7">
        <f t="shared" si="37"/>
        <v>0</v>
      </c>
      <c r="K61" s="7">
        <f t="shared" si="37"/>
        <v>0</v>
      </c>
    </row>
    <row r="62" spans="2:11" ht="15.75" thickBot="1" x14ac:dyDescent="0.3">
      <c r="B62" t="s">
        <v>39</v>
      </c>
      <c r="F62" s="8">
        <f>+'LBO Model Acquisition BS'!K34</f>
        <v>84.4</v>
      </c>
      <c r="G62" s="7">
        <f>+F62+G34+G79+G80</f>
        <v>97.1374</v>
      </c>
      <c r="H62" s="7">
        <f t="shared" ref="H62:K62" si="38">+G62+H34+H79+H80</f>
        <v>111.78541</v>
      </c>
      <c r="I62" s="7">
        <f t="shared" si="38"/>
        <v>128.63062149999999</v>
      </c>
      <c r="J62" s="7">
        <f t="shared" si="38"/>
        <v>148.002614725</v>
      </c>
      <c r="K62" s="7">
        <f t="shared" si="38"/>
        <v>170.28040693374999</v>
      </c>
    </row>
    <row r="63" spans="2:11" ht="15.75" thickTop="1" x14ac:dyDescent="0.25">
      <c r="B63" s="28" t="s">
        <v>40</v>
      </c>
      <c r="C63" s="28"/>
      <c r="D63" s="28"/>
      <c r="E63" s="28"/>
      <c r="F63" s="32">
        <f t="shared" ref="F63:K63" si="39">+F59+F60+F62+F61</f>
        <v>136.4</v>
      </c>
      <c r="G63" s="32">
        <f t="shared" si="39"/>
        <v>108.93356438356165</v>
      </c>
      <c r="H63" s="32">
        <f t="shared" si="39"/>
        <v>125.35099904109589</v>
      </c>
      <c r="I63" s="32">
        <f t="shared" si="39"/>
        <v>144.23104889726025</v>
      </c>
      <c r="J63" s="32">
        <f t="shared" si="39"/>
        <v>165.9431062318493</v>
      </c>
      <c r="K63" s="32">
        <f t="shared" si="39"/>
        <v>190.9119721666267</v>
      </c>
    </row>
    <row r="64" spans="2:11" x14ac:dyDescent="0.25">
      <c r="B64" s="17" t="s">
        <v>41</v>
      </c>
      <c r="F64" s="33">
        <f t="shared" ref="F64:G64" si="40">+F63-F53</f>
        <v>66.400000000000006</v>
      </c>
      <c r="G64" s="38">
        <f t="shared" si="40"/>
        <v>56.300000000000004</v>
      </c>
      <c r="H64" s="38">
        <f t="shared" ref="H64:K64" si="41">+H63-H53</f>
        <v>64.234999999999999</v>
      </c>
      <c r="I64" s="38">
        <f t="shared" si="41"/>
        <v>73.360249999999979</v>
      </c>
      <c r="J64" s="38">
        <f t="shared" si="41"/>
        <v>83.854287499999984</v>
      </c>
      <c r="K64" s="38">
        <f t="shared" si="41"/>
        <v>95.922430625000004</v>
      </c>
    </row>
    <row r="66" spans="2:11" x14ac:dyDescent="0.25">
      <c r="B66" s="2" t="s">
        <v>42</v>
      </c>
      <c r="C66" s="2"/>
      <c r="D66" s="2"/>
      <c r="E66" s="2"/>
      <c r="F66" s="2"/>
      <c r="G66" s="2"/>
      <c r="H66" s="2"/>
      <c r="I66" s="2"/>
      <c r="J66" s="2"/>
      <c r="K66" s="2"/>
    </row>
    <row r="67" spans="2:11" x14ac:dyDescent="0.25">
      <c r="B67" s="4" t="str">
        <f>+B44</f>
        <v>C$ - MM</v>
      </c>
      <c r="C67" s="4"/>
      <c r="D67" s="4"/>
      <c r="E67" s="5">
        <v>2013</v>
      </c>
      <c r="F67" s="5">
        <v>2014</v>
      </c>
      <c r="G67" s="6">
        <f t="shared" ref="G67:K67" si="42">+F67+1</f>
        <v>2015</v>
      </c>
      <c r="H67" s="6">
        <f t="shared" si="42"/>
        <v>2016</v>
      </c>
      <c r="I67" s="6">
        <f t="shared" si="42"/>
        <v>2017</v>
      </c>
      <c r="J67" s="6">
        <f t="shared" si="42"/>
        <v>2018</v>
      </c>
      <c r="K67" s="6">
        <f t="shared" si="42"/>
        <v>2019</v>
      </c>
    </row>
    <row r="68" spans="2:11" x14ac:dyDescent="0.25">
      <c r="B68" t="s">
        <v>43</v>
      </c>
      <c r="G68" s="9">
        <f>+G34</f>
        <v>12.737399999999997</v>
      </c>
      <c r="H68" s="9">
        <f t="shared" ref="H68:K68" si="43">+H34</f>
        <v>14.648009999999999</v>
      </c>
      <c r="I68" s="9">
        <f t="shared" si="43"/>
        <v>16.845211499999991</v>
      </c>
      <c r="J68" s="9">
        <f t="shared" si="43"/>
        <v>19.371993224999997</v>
      </c>
      <c r="K68" s="9">
        <f t="shared" si="43"/>
        <v>22.277792208749993</v>
      </c>
    </row>
    <row r="69" spans="2:11" x14ac:dyDescent="0.25">
      <c r="B69" t="s">
        <v>7</v>
      </c>
      <c r="G69" s="38">
        <f t="shared" ref="G69:K69" si="44">-G30</f>
        <v>0</v>
      </c>
      <c r="H69" s="38">
        <f t="shared" si="44"/>
        <v>0</v>
      </c>
      <c r="I69" s="38">
        <f t="shared" si="44"/>
        <v>0</v>
      </c>
      <c r="J69" s="38">
        <f t="shared" si="44"/>
        <v>0</v>
      </c>
      <c r="K69" s="38">
        <f t="shared" si="44"/>
        <v>0</v>
      </c>
    </row>
    <row r="70" spans="2:11" x14ac:dyDescent="0.25">
      <c r="B70" t="s">
        <v>65</v>
      </c>
      <c r="G70" s="38">
        <f>-G110</f>
        <v>-31.929863013698636</v>
      </c>
      <c r="H70" s="38">
        <f t="shared" ref="H70:K70" si="45">-H110</f>
        <v>-9.2894794520547777</v>
      </c>
      <c r="I70" s="38">
        <f t="shared" si="45"/>
        <v>-10.682901369863004</v>
      </c>
      <c r="J70" s="38">
        <f t="shared" si="45"/>
        <v>-12.285336575342455</v>
      </c>
      <c r="K70" s="38">
        <f t="shared" si="45"/>
        <v>-14.128137061643827</v>
      </c>
    </row>
    <row r="71" spans="2:11" x14ac:dyDescent="0.25">
      <c r="B71" t="s">
        <v>138</v>
      </c>
      <c r="G71" s="38">
        <f t="shared" ref="G71:K71" si="46">G136</f>
        <v>0</v>
      </c>
      <c r="H71" s="38">
        <f t="shared" si="46"/>
        <v>0</v>
      </c>
      <c r="I71" s="38">
        <f t="shared" si="46"/>
        <v>0</v>
      </c>
      <c r="J71" s="38">
        <f t="shared" si="46"/>
        <v>0</v>
      </c>
      <c r="K71" s="38">
        <f t="shared" si="46"/>
        <v>0</v>
      </c>
    </row>
    <row r="72" spans="2:11" x14ac:dyDescent="0.25">
      <c r="B72" s="13" t="s">
        <v>45</v>
      </c>
      <c r="C72" s="13"/>
      <c r="D72" s="13"/>
      <c r="E72" s="13"/>
      <c r="F72" s="13"/>
      <c r="G72" s="14">
        <f>+G68+G69+G71+G70</f>
        <v>-19.192463013698639</v>
      </c>
      <c r="H72" s="14">
        <f t="shared" ref="H72:K72" si="47">+H68+H69+H71+H70</f>
        <v>5.3585305479452217</v>
      </c>
      <c r="I72" s="14">
        <f t="shared" si="47"/>
        <v>6.1623101301369871</v>
      </c>
      <c r="J72" s="14">
        <f t="shared" si="47"/>
        <v>7.0866566496575416</v>
      </c>
      <c r="K72" s="14">
        <f t="shared" si="47"/>
        <v>8.1496551471061665</v>
      </c>
    </row>
    <row r="73" spans="2:11" x14ac:dyDescent="0.25">
      <c r="G73" s="33"/>
      <c r="H73" s="33"/>
      <c r="I73" s="33"/>
      <c r="J73" s="33"/>
      <c r="K73" s="33"/>
    </row>
    <row r="74" spans="2:11" x14ac:dyDescent="0.25">
      <c r="B74" t="s">
        <v>46</v>
      </c>
      <c r="G74" s="38">
        <f>+G39</f>
        <v>-6.9</v>
      </c>
      <c r="H74" s="38">
        <f t="shared" ref="H74:K74" si="48">+H39</f>
        <v>-7.9349999999999996</v>
      </c>
      <c r="I74" s="38">
        <f t="shared" si="48"/>
        <v>-9.1252499999999994</v>
      </c>
      <c r="J74" s="38">
        <f t="shared" si="48"/>
        <v>-10.494037499999997</v>
      </c>
      <c r="K74" s="38">
        <f t="shared" si="48"/>
        <v>-12.068143124999997</v>
      </c>
    </row>
    <row r="75" spans="2:11" x14ac:dyDescent="0.25">
      <c r="B75" s="13" t="s">
        <v>47</v>
      </c>
      <c r="C75" s="13"/>
      <c r="D75" s="13"/>
      <c r="E75" s="13"/>
      <c r="F75" s="13"/>
      <c r="G75" s="49">
        <f>+G74</f>
        <v>-6.9</v>
      </c>
      <c r="H75" s="49">
        <f t="shared" ref="H75:K75" si="49">+H74</f>
        <v>-7.9349999999999996</v>
      </c>
      <c r="I75" s="49">
        <f t="shared" si="49"/>
        <v>-9.1252499999999994</v>
      </c>
      <c r="J75" s="49">
        <f t="shared" si="49"/>
        <v>-10.494037499999997</v>
      </c>
      <c r="K75" s="49">
        <f t="shared" si="49"/>
        <v>-12.068143124999997</v>
      </c>
    </row>
    <row r="77" spans="2:11" x14ac:dyDescent="0.25">
      <c r="B77" t="s">
        <v>52</v>
      </c>
      <c r="G77" s="33"/>
      <c r="H77" s="33"/>
      <c r="I77" s="33"/>
      <c r="J77" s="33"/>
      <c r="K77" s="33"/>
    </row>
    <row r="78" spans="2:11" x14ac:dyDescent="0.25">
      <c r="B78" t="s">
        <v>48</v>
      </c>
      <c r="G78" s="38">
        <f>+G125</f>
        <v>0</v>
      </c>
      <c r="H78" s="38">
        <f t="shared" ref="H78:K78" si="50">+H125</f>
        <v>0</v>
      </c>
      <c r="I78" s="38">
        <f t="shared" si="50"/>
        <v>0</v>
      </c>
      <c r="J78" s="38">
        <f t="shared" si="50"/>
        <v>0</v>
      </c>
      <c r="K78" s="38">
        <f t="shared" si="50"/>
        <v>0</v>
      </c>
    </row>
    <row r="79" spans="2:11" x14ac:dyDescent="0.25">
      <c r="B79" t="s">
        <v>49</v>
      </c>
      <c r="G79" s="33"/>
      <c r="H79" s="33"/>
      <c r="I79" s="33"/>
      <c r="J79" s="33"/>
      <c r="K79" s="33"/>
    </row>
    <row r="80" spans="2:11" x14ac:dyDescent="0.25">
      <c r="B80" t="s">
        <v>51</v>
      </c>
      <c r="G80" s="33"/>
      <c r="H80" s="33"/>
      <c r="I80" s="33"/>
      <c r="J80" s="33"/>
      <c r="K80" s="33"/>
    </row>
    <row r="81" spans="2:11" x14ac:dyDescent="0.25">
      <c r="B81" s="13" t="s">
        <v>50</v>
      </c>
      <c r="C81" s="13"/>
      <c r="D81" s="13"/>
      <c r="E81" s="13"/>
      <c r="F81" s="13"/>
      <c r="G81" s="49">
        <f>+G80+G79+G78+G77</f>
        <v>0</v>
      </c>
      <c r="H81" s="49">
        <f t="shared" ref="H81:K81" si="51">+H80+H79+H78+H77</f>
        <v>0</v>
      </c>
      <c r="I81" s="49">
        <f t="shared" si="51"/>
        <v>0</v>
      </c>
      <c r="J81" s="49">
        <f t="shared" si="51"/>
        <v>0</v>
      </c>
      <c r="K81" s="49">
        <f t="shared" si="51"/>
        <v>0</v>
      </c>
    </row>
    <row r="82" spans="2:11" ht="15.75" thickBot="1" x14ac:dyDescent="0.3"/>
    <row r="83" spans="2:11" ht="15.75" thickTop="1" x14ac:dyDescent="0.25">
      <c r="B83" s="28" t="s">
        <v>53</v>
      </c>
      <c r="C83" s="28"/>
      <c r="D83" s="28"/>
      <c r="E83" s="28">
        <f>+E81+E75+E72</f>
        <v>0</v>
      </c>
      <c r="F83" s="28">
        <f t="shared" ref="F83:K83" si="52">+F81+F75+F72</f>
        <v>0</v>
      </c>
      <c r="G83" s="32">
        <f t="shared" si="52"/>
        <v>-26.092463013698641</v>
      </c>
      <c r="H83" s="32">
        <f t="shared" si="52"/>
        <v>-2.576469452054778</v>
      </c>
      <c r="I83" s="32">
        <f t="shared" si="52"/>
        <v>-2.9629398698630123</v>
      </c>
      <c r="J83" s="32">
        <f t="shared" si="52"/>
        <v>-3.4073808503424559</v>
      </c>
      <c r="K83" s="32">
        <f t="shared" si="52"/>
        <v>-3.9184879778938306</v>
      </c>
    </row>
    <row r="85" spans="2:11" x14ac:dyDescent="0.25">
      <c r="B85" t="s">
        <v>54</v>
      </c>
      <c r="G85" s="9">
        <f>+F87</f>
        <v>5.5511151231257827E-15</v>
      </c>
      <c r="H85" s="9">
        <f t="shared" ref="H85:K85" si="53">+G87</f>
        <v>-26.092463013698634</v>
      </c>
      <c r="I85" s="9">
        <f t="shared" si="53"/>
        <v>-28.668932465753411</v>
      </c>
      <c r="J85" s="9">
        <f t="shared" si="53"/>
        <v>-31.631872335616421</v>
      </c>
      <c r="K85" s="9">
        <f t="shared" si="53"/>
        <v>-35.039253185958877</v>
      </c>
    </row>
    <row r="86" spans="2:11" x14ac:dyDescent="0.25">
      <c r="B86" t="s">
        <v>55</v>
      </c>
      <c r="G86" s="7">
        <f>+G83</f>
        <v>-26.092463013698641</v>
      </c>
      <c r="H86" s="7">
        <f t="shared" ref="H86:K86" si="54">+H83</f>
        <v>-2.576469452054778</v>
      </c>
      <c r="I86" s="7">
        <f t="shared" si="54"/>
        <v>-2.9629398698630123</v>
      </c>
      <c r="J86" s="7">
        <f t="shared" si="54"/>
        <v>-3.4073808503424559</v>
      </c>
      <c r="K86" s="7">
        <f t="shared" si="54"/>
        <v>-3.9184879778938306</v>
      </c>
    </row>
    <row r="87" spans="2:11" x14ac:dyDescent="0.25">
      <c r="B87" s="34" t="s">
        <v>56</v>
      </c>
      <c r="C87" s="34"/>
      <c r="D87" s="34"/>
      <c r="E87" s="34"/>
      <c r="F87" s="35">
        <f>+F46</f>
        <v>5.5511151231257827E-15</v>
      </c>
      <c r="G87" s="35">
        <f>+G85+G86</f>
        <v>-26.092463013698634</v>
      </c>
      <c r="H87" s="35">
        <f t="shared" ref="H87:K87" si="55">+H85+H86</f>
        <v>-28.668932465753411</v>
      </c>
      <c r="I87" s="35">
        <f t="shared" si="55"/>
        <v>-31.631872335616421</v>
      </c>
      <c r="J87" s="35">
        <f t="shared" si="55"/>
        <v>-35.039253185958877</v>
      </c>
      <c r="K87" s="35">
        <f t="shared" si="55"/>
        <v>-38.95774116385271</v>
      </c>
    </row>
    <row r="91" spans="2:11" x14ac:dyDescent="0.25">
      <c r="B91" s="37" t="s">
        <v>57</v>
      </c>
      <c r="C91" s="37"/>
      <c r="D91" s="37"/>
      <c r="E91" s="37"/>
      <c r="F91" s="37"/>
      <c r="G91" s="37"/>
      <c r="H91" s="37"/>
      <c r="I91" s="37"/>
      <c r="J91" s="37"/>
      <c r="K91" s="37"/>
    </row>
    <row r="93" spans="2:11" x14ac:dyDescent="0.25">
      <c r="B93" s="2" t="s">
        <v>58</v>
      </c>
      <c r="C93" s="2"/>
      <c r="D93" s="2"/>
      <c r="E93" s="2"/>
      <c r="F93" s="2"/>
      <c r="G93" s="2"/>
      <c r="H93" s="2"/>
      <c r="I93" s="2"/>
      <c r="J93" s="2"/>
      <c r="K93" s="2"/>
    </row>
    <row r="94" spans="2:11" x14ac:dyDescent="0.25">
      <c r="B94" s="4" t="str">
        <f>+B67</f>
        <v>C$ - MM</v>
      </c>
      <c r="C94" s="4"/>
      <c r="D94" s="4"/>
      <c r="E94" s="5">
        <v>2013</v>
      </c>
      <c r="F94" s="5">
        <v>2014</v>
      </c>
      <c r="G94" s="6">
        <f t="shared" ref="G94:K94" si="56">+F94+1</f>
        <v>2015</v>
      </c>
      <c r="H94" s="6">
        <f t="shared" si="56"/>
        <v>2016</v>
      </c>
      <c r="I94" s="6">
        <f t="shared" si="56"/>
        <v>2017</v>
      </c>
      <c r="J94" s="6">
        <f t="shared" si="56"/>
        <v>2018</v>
      </c>
      <c r="K94" s="6">
        <f t="shared" si="56"/>
        <v>2019</v>
      </c>
    </row>
    <row r="95" spans="2:11" x14ac:dyDescent="0.25">
      <c r="B95" t="str">
        <f>+B22</f>
        <v>Sales</v>
      </c>
      <c r="E95">
        <f t="shared" ref="E95:K96" si="57">+E22</f>
        <v>100</v>
      </c>
      <c r="F95">
        <f t="shared" si="57"/>
        <v>120</v>
      </c>
      <c r="G95">
        <f t="shared" si="57"/>
        <v>138</v>
      </c>
      <c r="H95">
        <f t="shared" si="57"/>
        <v>158.69999999999999</v>
      </c>
      <c r="I95">
        <f t="shared" si="57"/>
        <v>182.50499999999997</v>
      </c>
      <c r="J95">
        <f t="shared" si="57"/>
        <v>209.88074999999995</v>
      </c>
      <c r="K95">
        <f t="shared" si="57"/>
        <v>241.36286249999992</v>
      </c>
    </row>
    <row r="96" spans="2:11" x14ac:dyDescent="0.25">
      <c r="B96" t="str">
        <f>+B23</f>
        <v>COGS</v>
      </c>
      <c r="E96" s="38">
        <f t="shared" si="57"/>
        <v>-50</v>
      </c>
      <c r="F96" s="38">
        <f t="shared" si="57"/>
        <v>-65</v>
      </c>
      <c r="G96" s="38">
        <f t="shared" si="57"/>
        <v>-71.760000000000005</v>
      </c>
      <c r="H96" s="38">
        <f t="shared" si="57"/>
        <v>-82.524000000000001</v>
      </c>
      <c r="I96" s="38">
        <f t="shared" si="57"/>
        <v>-94.902599999999993</v>
      </c>
      <c r="J96" s="38">
        <f t="shared" si="57"/>
        <v>-109.13798999999997</v>
      </c>
      <c r="K96" s="38">
        <f t="shared" si="57"/>
        <v>-125.50868849999996</v>
      </c>
    </row>
    <row r="98" spans="2:11" x14ac:dyDescent="0.25">
      <c r="B98" t="str">
        <f>+B47</f>
        <v>Receivables</v>
      </c>
      <c r="F98" s="38">
        <f>+F47</f>
        <v>10</v>
      </c>
      <c r="G98" s="38">
        <f t="shared" ref="G98:K98" si="58">+G99*G$95/365</f>
        <v>11.342465753424657</v>
      </c>
      <c r="H98" s="38">
        <f t="shared" si="58"/>
        <v>13.043835616438356</v>
      </c>
      <c r="I98" s="38">
        <f t="shared" si="58"/>
        <v>15.000410958904107</v>
      </c>
      <c r="J98" s="38">
        <f t="shared" si="58"/>
        <v>17.250472602739723</v>
      </c>
      <c r="K98" s="38">
        <f t="shared" si="58"/>
        <v>19.838043493150678</v>
      </c>
    </row>
    <row r="99" spans="2:11" x14ac:dyDescent="0.25">
      <c r="B99" s="17" t="s">
        <v>63</v>
      </c>
      <c r="C99" s="45">
        <f>+Assumptions!D12</f>
        <v>30</v>
      </c>
      <c r="D99" s="17"/>
      <c r="E99" s="17"/>
      <c r="F99" s="46">
        <f>+F98/$F95*365</f>
        <v>30.416666666666664</v>
      </c>
      <c r="G99" s="46">
        <f t="shared" ref="G99:K99" si="59">+$C$99</f>
        <v>30</v>
      </c>
      <c r="H99" s="46">
        <f t="shared" si="59"/>
        <v>30</v>
      </c>
      <c r="I99" s="46">
        <f t="shared" si="59"/>
        <v>30</v>
      </c>
      <c r="J99" s="46">
        <f t="shared" si="59"/>
        <v>30</v>
      </c>
      <c r="K99" s="46">
        <f t="shared" si="59"/>
        <v>30</v>
      </c>
    </row>
    <row r="100" spans="2:11" x14ac:dyDescent="0.25">
      <c r="F100" s="38"/>
    </row>
    <row r="101" spans="2:11" x14ac:dyDescent="0.25">
      <c r="B101" t="str">
        <f>+B48</f>
        <v xml:space="preserve">Inventory </v>
      </c>
      <c r="F101" s="38">
        <f>+F48</f>
        <v>30</v>
      </c>
      <c r="G101" s="38">
        <f t="shared" ref="G101:K101" si="60">+G102*G$95/365</f>
        <v>62.38356164383562</v>
      </c>
      <c r="H101" s="38">
        <f t="shared" si="60"/>
        <v>71.741095890410946</v>
      </c>
      <c r="I101" s="38">
        <f t="shared" si="60"/>
        <v>82.502260273972581</v>
      </c>
      <c r="J101" s="38">
        <f t="shared" si="60"/>
        <v>94.877599315068466</v>
      </c>
      <c r="K101" s="38">
        <f t="shared" si="60"/>
        <v>109.10923921232873</v>
      </c>
    </row>
    <row r="102" spans="2:11" x14ac:dyDescent="0.25">
      <c r="B102" s="17" t="s">
        <v>63</v>
      </c>
      <c r="C102" s="45">
        <f>+Assumptions!D13</f>
        <v>165</v>
      </c>
      <c r="D102" s="17"/>
      <c r="E102" s="17"/>
      <c r="F102" s="46">
        <f>+F101/F$95*365</f>
        <v>91.25</v>
      </c>
      <c r="G102" s="46">
        <f t="shared" ref="G102:K102" si="61">+$C$102</f>
        <v>165</v>
      </c>
      <c r="H102" s="46">
        <f t="shared" si="61"/>
        <v>165</v>
      </c>
      <c r="I102" s="46">
        <f t="shared" si="61"/>
        <v>165</v>
      </c>
      <c r="J102" s="46">
        <f t="shared" si="61"/>
        <v>165</v>
      </c>
      <c r="K102" s="46">
        <f t="shared" si="61"/>
        <v>165</v>
      </c>
    </row>
    <row r="103" spans="2:11" x14ac:dyDescent="0.25">
      <c r="F103" s="38"/>
    </row>
    <row r="104" spans="2:11" x14ac:dyDescent="0.25">
      <c r="B104" t="str">
        <f>+B49</f>
        <v>prepaids</v>
      </c>
      <c r="F104" s="38">
        <f>+F49</f>
        <v>5</v>
      </c>
      <c r="G104" s="38">
        <f>+F104</f>
        <v>5</v>
      </c>
      <c r="H104" s="38">
        <f t="shared" ref="H104:K104" si="62">+G104</f>
        <v>5</v>
      </c>
      <c r="I104" s="38">
        <f t="shared" si="62"/>
        <v>5</v>
      </c>
      <c r="J104" s="38">
        <f t="shared" si="62"/>
        <v>5</v>
      </c>
      <c r="K104" s="38">
        <f t="shared" si="62"/>
        <v>5</v>
      </c>
    </row>
    <row r="105" spans="2:11" x14ac:dyDescent="0.25">
      <c r="F105" s="38"/>
    </row>
    <row r="106" spans="2:11" x14ac:dyDescent="0.25">
      <c r="B106" t="str">
        <f>+B58</f>
        <v>Payables</v>
      </c>
      <c r="F106" s="38">
        <f>+F58</f>
        <v>10</v>
      </c>
      <c r="G106" s="38">
        <f>-G107*G$96/365</f>
        <v>11.796164383561646</v>
      </c>
      <c r="H106" s="38">
        <f t="shared" ref="H106:K106" si="63">-H107*H$96/365</f>
        <v>13.565589041095892</v>
      </c>
      <c r="I106" s="38">
        <f t="shared" si="63"/>
        <v>15.600427397260274</v>
      </c>
      <c r="J106" s="38">
        <f t="shared" si="63"/>
        <v>17.940491506849312</v>
      </c>
      <c r="K106" s="38">
        <f t="shared" si="63"/>
        <v>20.631565232876707</v>
      </c>
    </row>
    <row r="107" spans="2:11" x14ac:dyDescent="0.25">
      <c r="B107" s="17" t="s">
        <v>64</v>
      </c>
      <c r="C107" s="44">
        <f>+Assumptions!D14</f>
        <v>60</v>
      </c>
      <c r="F107" s="46">
        <f>-F106/F$96*365</f>
        <v>56.15384615384616</v>
      </c>
      <c r="G107" s="46">
        <f t="shared" ref="G107:K107" si="64">+$C$107</f>
        <v>60</v>
      </c>
      <c r="H107" s="46">
        <f t="shared" si="64"/>
        <v>60</v>
      </c>
      <c r="I107" s="46">
        <f t="shared" si="64"/>
        <v>60</v>
      </c>
      <c r="J107" s="46">
        <f t="shared" si="64"/>
        <v>60</v>
      </c>
      <c r="K107" s="46">
        <f t="shared" si="64"/>
        <v>60</v>
      </c>
    </row>
    <row r="109" spans="2:11" x14ac:dyDescent="0.25">
      <c r="B109" s="3" t="s">
        <v>58</v>
      </c>
      <c r="C109" s="3"/>
      <c r="D109" s="3"/>
      <c r="E109" s="3"/>
      <c r="F109" s="47">
        <f>+F98+F101+F104-F106</f>
        <v>35</v>
      </c>
      <c r="G109" s="47">
        <f t="shared" ref="G109:K109" si="65">+G98+G101+G104-G106</f>
        <v>66.929863013698636</v>
      </c>
      <c r="H109" s="47">
        <f t="shared" si="65"/>
        <v>76.219342465753414</v>
      </c>
      <c r="I109" s="47">
        <f t="shared" si="65"/>
        <v>86.902243835616417</v>
      </c>
      <c r="J109" s="47">
        <f t="shared" si="65"/>
        <v>99.187580410958873</v>
      </c>
      <c r="K109" s="47">
        <f t="shared" si="65"/>
        <v>113.3157174726027</v>
      </c>
    </row>
    <row r="110" spans="2:11" x14ac:dyDescent="0.25">
      <c r="B110" s="3" t="s">
        <v>65</v>
      </c>
      <c r="C110" s="3"/>
      <c r="D110" s="3"/>
      <c r="E110" s="3"/>
      <c r="F110" s="3"/>
      <c r="G110" s="47">
        <f>+G109-F109</f>
        <v>31.929863013698636</v>
      </c>
      <c r="H110" s="47">
        <f t="shared" ref="H110:K110" si="66">+H109-G109</f>
        <v>9.2894794520547777</v>
      </c>
      <c r="I110" s="47">
        <f t="shared" si="66"/>
        <v>10.682901369863004</v>
      </c>
      <c r="J110" s="47">
        <f t="shared" si="66"/>
        <v>12.285336575342455</v>
      </c>
      <c r="K110" s="47">
        <f t="shared" si="66"/>
        <v>14.128137061643827</v>
      </c>
    </row>
    <row r="113" spans="2:12" ht="24.95" customHeight="1" x14ac:dyDescent="0.25">
      <c r="B113" s="39" t="s">
        <v>66</v>
      </c>
      <c r="C113" s="39"/>
      <c r="D113" s="39"/>
      <c r="E113" s="39"/>
      <c r="F113" s="39"/>
      <c r="G113" s="39"/>
      <c r="H113" s="39"/>
      <c r="I113" s="39"/>
      <c r="J113" s="39"/>
      <c r="K113" s="39"/>
    </row>
    <row r="114" spans="2:12" x14ac:dyDescent="0.25">
      <c r="B114" s="4" t="str">
        <f>+B94</f>
        <v>C$ - MM</v>
      </c>
      <c r="C114" s="4"/>
      <c r="D114" s="4"/>
      <c r="E114" s="5">
        <v>2013</v>
      </c>
      <c r="F114" s="5">
        <v>2014</v>
      </c>
      <c r="G114" s="6">
        <f t="shared" ref="G114:K114" si="67">+F114+1</f>
        <v>2015</v>
      </c>
      <c r="H114" s="6">
        <f t="shared" si="67"/>
        <v>2016</v>
      </c>
      <c r="I114" s="6">
        <f t="shared" si="67"/>
        <v>2017</v>
      </c>
      <c r="J114" s="6">
        <f t="shared" si="67"/>
        <v>2018</v>
      </c>
      <c r="K114" s="6">
        <f t="shared" si="67"/>
        <v>2019</v>
      </c>
    </row>
    <row r="115" spans="2:12" x14ac:dyDescent="0.25">
      <c r="B115" t="s">
        <v>67</v>
      </c>
      <c r="G115" s="7"/>
      <c r="H115" s="7"/>
      <c r="I115" s="7"/>
      <c r="J115" s="7"/>
      <c r="K115" s="7"/>
    </row>
    <row r="116" spans="2:12" x14ac:dyDescent="0.25">
      <c r="B116" t="s">
        <v>19</v>
      </c>
      <c r="G116" s="9"/>
      <c r="H116" s="9"/>
      <c r="I116" s="9"/>
      <c r="J116" s="9"/>
      <c r="K116" s="9"/>
    </row>
    <row r="117" spans="2:12" x14ac:dyDescent="0.25">
      <c r="B117" s="11" t="s">
        <v>7</v>
      </c>
      <c r="C117" s="80">
        <f>+Assumptions!D10</f>
        <v>0.1</v>
      </c>
      <c r="D117" s="11"/>
      <c r="E117" s="11"/>
      <c r="F117" s="11"/>
      <c r="G117" s="51"/>
      <c r="H117" s="51"/>
      <c r="I117" s="51"/>
      <c r="J117" s="51"/>
      <c r="K117" s="51"/>
    </row>
    <row r="118" spans="2:12" x14ac:dyDescent="0.25">
      <c r="B118" s="3" t="s">
        <v>68</v>
      </c>
      <c r="C118" s="81"/>
      <c r="D118" s="3"/>
      <c r="E118" s="3"/>
      <c r="F118" s="15">
        <f>+F51</f>
        <v>25</v>
      </c>
      <c r="G118" s="15">
        <f>+G115+G116+G117</f>
        <v>0</v>
      </c>
      <c r="H118" s="15">
        <f t="shared" ref="H118:K118" si="68">+H115+H116+H117</f>
        <v>0</v>
      </c>
      <c r="I118" s="15">
        <f t="shared" si="68"/>
        <v>0</v>
      </c>
      <c r="J118" s="15">
        <f t="shared" si="68"/>
        <v>0</v>
      </c>
      <c r="K118" s="15">
        <f t="shared" si="68"/>
        <v>0</v>
      </c>
    </row>
    <row r="119" spans="2:12" x14ac:dyDescent="0.25">
      <c r="C119" s="69"/>
    </row>
    <row r="120" spans="2:12" x14ac:dyDescent="0.25">
      <c r="C120" s="69"/>
    </row>
    <row r="121" spans="2:12" ht="17.25" x14ac:dyDescent="0.25">
      <c r="B121" s="39" t="s">
        <v>70</v>
      </c>
      <c r="C121" s="82"/>
      <c r="D121" s="39"/>
      <c r="E121" s="39"/>
      <c r="F121" s="39"/>
      <c r="G121" s="39"/>
      <c r="H121" s="39"/>
      <c r="I121" s="39"/>
      <c r="J121" s="39"/>
      <c r="K121" s="39"/>
    </row>
    <row r="122" spans="2:12" x14ac:dyDescent="0.25">
      <c r="B122" s="4" t="str">
        <f>+$B$114</f>
        <v>C$ - MM</v>
      </c>
      <c r="C122" s="83"/>
      <c r="D122" s="4"/>
      <c r="E122" s="5">
        <v>2013</v>
      </c>
      <c r="F122" s="5">
        <v>2014</v>
      </c>
      <c r="G122" s="6">
        <f t="shared" ref="G122:K122" si="69">+F122+1</f>
        <v>2015</v>
      </c>
      <c r="H122" s="6">
        <f t="shared" si="69"/>
        <v>2016</v>
      </c>
      <c r="I122" s="6">
        <f t="shared" si="69"/>
        <v>2017</v>
      </c>
      <c r="J122" s="6">
        <f t="shared" si="69"/>
        <v>2018</v>
      </c>
      <c r="K122" s="6">
        <f t="shared" si="69"/>
        <v>2019</v>
      </c>
    </row>
    <row r="123" spans="2:12" x14ac:dyDescent="0.25">
      <c r="B123" s="25" t="s">
        <v>129</v>
      </c>
      <c r="C123" s="84"/>
      <c r="D123" s="25"/>
      <c r="E123" s="26"/>
      <c r="F123" s="26"/>
      <c r="G123" s="27"/>
      <c r="H123" s="27"/>
      <c r="I123" s="27"/>
      <c r="J123" s="27"/>
      <c r="K123" s="27"/>
    </row>
    <row r="124" spans="2:12" x14ac:dyDescent="0.25">
      <c r="B124" t="s">
        <v>71</v>
      </c>
      <c r="C124" s="69"/>
      <c r="G124" s="7"/>
      <c r="H124" s="7"/>
      <c r="I124" s="7"/>
      <c r="J124" s="7"/>
      <c r="K124" s="7"/>
    </row>
    <row r="125" spans="2:12" x14ac:dyDescent="0.25">
      <c r="B125" t="s">
        <v>78</v>
      </c>
      <c r="C125" s="85"/>
      <c r="G125" s="38"/>
      <c r="H125" s="38"/>
      <c r="I125" s="38"/>
      <c r="J125" s="38"/>
      <c r="K125" s="38"/>
      <c r="L125" s="38">
        <f>+K125</f>
        <v>0</v>
      </c>
    </row>
    <row r="126" spans="2:12" x14ac:dyDescent="0.25">
      <c r="B126" t="s">
        <v>72</v>
      </c>
      <c r="C126" s="85"/>
      <c r="F126" s="7">
        <f>+F57+F60</f>
        <v>30</v>
      </c>
      <c r="G126" s="7"/>
      <c r="H126" s="7"/>
      <c r="I126" s="7"/>
      <c r="J126" s="7"/>
      <c r="K126" s="7"/>
    </row>
    <row r="127" spans="2:12" x14ac:dyDescent="0.25">
      <c r="C127" s="85"/>
    </row>
    <row r="128" spans="2:12" x14ac:dyDescent="0.25">
      <c r="B128" t="s">
        <v>8</v>
      </c>
      <c r="C128" s="85">
        <f>+Assumptions!H8</f>
        <v>0.05</v>
      </c>
      <c r="G128" s="38"/>
      <c r="H128" s="38"/>
      <c r="I128" s="38"/>
      <c r="J128" s="38"/>
      <c r="K128" s="38"/>
    </row>
    <row r="129" spans="2:11" x14ac:dyDescent="0.25">
      <c r="C129" s="69"/>
    </row>
    <row r="130" spans="2:11" x14ac:dyDescent="0.25">
      <c r="B130" t="s">
        <v>73</v>
      </c>
      <c r="C130" s="69"/>
      <c r="G130" s="38"/>
      <c r="H130" s="38"/>
      <c r="I130" s="38"/>
      <c r="J130" s="38"/>
      <c r="K130" s="38"/>
    </row>
    <row r="131" spans="2:11" x14ac:dyDescent="0.25">
      <c r="B131" t="s">
        <v>74</v>
      </c>
      <c r="C131" s="69"/>
      <c r="G131" s="38"/>
      <c r="H131" s="38"/>
      <c r="I131" s="38"/>
      <c r="J131" s="38"/>
      <c r="K131" s="38"/>
    </row>
    <row r="132" spans="2:11" x14ac:dyDescent="0.25">
      <c r="C132" s="69"/>
      <c r="G132" s="38"/>
      <c r="H132" s="38"/>
      <c r="I132" s="38"/>
      <c r="J132" s="38"/>
      <c r="K132" s="38"/>
    </row>
    <row r="133" spans="2:11" x14ac:dyDescent="0.25">
      <c r="B133" s="3" t="s">
        <v>130</v>
      </c>
      <c r="C133" s="69"/>
      <c r="G133" s="38"/>
      <c r="H133" s="38"/>
      <c r="I133" s="38"/>
      <c r="J133" s="38"/>
      <c r="K133" s="38"/>
    </row>
    <row r="134" spans="2:11" x14ac:dyDescent="0.25">
      <c r="B134" t="s">
        <v>71</v>
      </c>
      <c r="C134" s="69"/>
      <c r="G134" s="38"/>
      <c r="H134" s="38"/>
      <c r="I134" s="38"/>
      <c r="J134" s="38"/>
      <c r="K134" s="38"/>
    </row>
    <row r="135" spans="2:11" x14ac:dyDescent="0.25">
      <c r="B135" t="s">
        <v>78</v>
      </c>
      <c r="C135" s="69"/>
      <c r="G135" s="38"/>
      <c r="H135" s="38"/>
      <c r="I135" s="38"/>
      <c r="J135" s="38"/>
      <c r="K135" s="38"/>
    </row>
    <row r="136" spans="2:11" x14ac:dyDescent="0.25">
      <c r="B136" t="s">
        <v>131</v>
      </c>
      <c r="C136" s="69">
        <f>+Assumptions!H12</f>
        <v>1</v>
      </c>
      <c r="G136" s="60"/>
      <c r="H136" s="60"/>
      <c r="I136" s="60"/>
      <c r="J136" s="60"/>
      <c r="K136" s="60"/>
    </row>
    <row r="137" spans="2:11" x14ac:dyDescent="0.25">
      <c r="B137" t="s">
        <v>72</v>
      </c>
      <c r="C137" s="69"/>
      <c r="F137" s="38">
        <f>+F61</f>
        <v>12</v>
      </c>
      <c r="G137" s="38"/>
      <c r="H137" s="38"/>
      <c r="I137" s="38"/>
      <c r="J137" s="38"/>
      <c r="K137" s="38"/>
    </row>
    <row r="138" spans="2:11" x14ac:dyDescent="0.25">
      <c r="C138" s="69"/>
      <c r="G138" s="38"/>
      <c r="H138" s="38"/>
      <c r="I138" s="38"/>
      <c r="J138" s="38"/>
      <c r="K138" s="38"/>
    </row>
    <row r="139" spans="2:11" x14ac:dyDescent="0.25">
      <c r="B139" t="s">
        <v>8</v>
      </c>
      <c r="C139" s="74">
        <f>+Assumptions!H11</f>
        <v>0.12</v>
      </c>
      <c r="G139" s="60"/>
      <c r="H139" s="60"/>
      <c r="I139" s="60"/>
      <c r="J139" s="60"/>
      <c r="K139" s="60"/>
    </row>
    <row r="141" spans="2:11" x14ac:dyDescent="0.25">
      <c r="C141" s="69"/>
      <c r="G141" s="60"/>
      <c r="H141" s="60"/>
      <c r="I141" s="60"/>
      <c r="J141" s="60"/>
      <c r="K141" s="60"/>
    </row>
    <row r="142" spans="2:11" x14ac:dyDescent="0.25">
      <c r="B142" t="s">
        <v>34</v>
      </c>
      <c r="C142" s="69"/>
      <c r="G142" s="60"/>
      <c r="H142" s="60"/>
      <c r="I142" s="60"/>
      <c r="J142" s="60"/>
      <c r="K142" s="60"/>
    </row>
    <row r="143" spans="2:11" x14ac:dyDescent="0.25">
      <c r="B143" t="s">
        <v>135</v>
      </c>
      <c r="C143" s="69"/>
      <c r="G143" s="60"/>
      <c r="H143" s="60"/>
      <c r="I143" s="60"/>
      <c r="J143" s="60"/>
      <c r="K143" s="60"/>
    </row>
    <row r="144" spans="2:11" x14ac:dyDescent="0.25">
      <c r="B144" t="s">
        <v>134</v>
      </c>
      <c r="C144" s="69"/>
      <c r="G144" s="60"/>
      <c r="H144" s="60"/>
      <c r="I144" s="60"/>
      <c r="J144" s="60"/>
      <c r="K144" s="60"/>
    </row>
    <row r="145" spans="2:11" x14ac:dyDescent="0.25">
      <c r="B145" t="s">
        <v>133</v>
      </c>
      <c r="C145" s="69"/>
      <c r="G145" s="60"/>
      <c r="H145" s="60"/>
      <c r="I145" s="60"/>
      <c r="J145" s="60"/>
      <c r="K145" s="60"/>
    </row>
    <row r="146" spans="2:11" x14ac:dyDescent="0.25">
      <c r="C146" s="69"/>
      <c r="G146" s="60"/>
      <c r="H146" s="60"/>
      <c r="I146" s="60"/>
      <c r="J146" s="60"/>
      <c r="K146" s="60"/>
    </row>
    <row r="147" spans="2:11" x14ac:dyDescent="0.25">
      <c r="B147" t="s">
        <v>136</v>
      </c>
      <c r="C147" s="70">
        <f>+Assumptions!D19</f>
        <v>0.01</v>
      </c>
      <c r="G147" s="60"/>
      <c r="H147" s="60"/>
      <c r="I147" s="60"/>
      <c r="J147" s="60"/>
      <c r="K147" s="60"/>
    </row>
    <row r="148" spans="2:11" x14ac:dyDescent="0.25">
      <c r="B148" t="s">
        <v>137</v>
      </c>
      <c r="C148" s="70">
        <f>+Assumptions!D20</f>
        <v>0.05</v>
      </c>
      <c r="G148" s="60"/>
      <c r="H148" s="60"/>
      <c r="I148" s="60"/>
      <c r="J148" s="60"/>
      <c r="K148" s="60"/>
    </row>
    <row r="149" spans="2:11" x14ac:dyDescent="0.25">
      <c r="C149" s="70"/>
      <c r="G149" s="60"/>
      <c r="H149" s="60"/>
      <c r="I149" s="60"/>
      <c r="J149" s="60"/>
      <c r="K149" s="60"/>
    </row>
    <row r="150" spans="2:11" x14ac:dyDescent="0.25">
      <c r="C150" s="70"/>
      <c r="G150" s="60"/>
      <c r="H150" s="60"/>
      <c r="I150" s="60"/>
      <c r="J150" s="60"/>
      <c r="K150" s="60"/>
    </row>
    <row r="151" spans="2:11" x14ac:dyDescent="0.25">
      <c r="B151" t="s">
        <v>132</v>
      </c>
      <c r="C151" s="69"/>
      <c r="G151" s="60"/>
      <c r="H151" s="60"/>
      <c r="I151" s="60"/>
      <c r="J151" s="60"/>
      <c r="K151" s="60"/>
    </row>
    <row r="152" spans="2:11" x14ac:dyDescent="0.25">
      <c r="C152" s="69"/>
      <c r="G152" s="60"/>
      <c r="H152" s="60"/>
      <c r="I152" s="60"/>
      <c r="J152" s="60"/>
      <c r="K152" s="60"/>
    </row>
    <row r="154" spans="2:11" ht="17.25" x14ac:dyDescent="0.25">
      <c r="B154" s="39" t="s">
        <v>139</v>
      </c>
      <c r="C154" s="39"/>
      <c r="D154" s="39"/>
      <c r="E154" s="39"/>
      <c r="F154" s="39"/>
      <c r="G154" s="39"/>
      <c r="H154" s="39"/>
      <c r="I154" s="39"/>
      <c r="J154" s="39"/>
      <c r="K154" s="39"/>
    </row>
    <row r="155" spans="2:11" x14ac:dyDescent="0.25">
      <c r="B155" s="4" t="str">
        <f>+$B$114</f>
        <v>C$ - MM</v>
      </c>
      <c r="C155" s="4"/>
      <c r="D155" s="4"/>
      <c r="E155" s="5">
        <v>2013</v>
      </c>
      <c r="F155" s="5">
        <v>2014</v>
      </c>
      <c r="G155" s="6">
        <f t="shared" ref="G155:K155" si="70">+F155+1</f>
        <v>2015</v>
      </c>
      <c r="H155" s="6">
        <f t="shared" si="70"/>
        <v>2016</v>
      </c>
      <c r="I155" s="6">
        <f t="shared" si="70"/>
        <v>2017</v>
      </c>
      <c r="J155" s="6">
        <f t="shared" si="70"/>
        <v>2018</v>
      </c>
      <c r="K155" s="6">
        <f t="shared" si="70"/>
        <v>2019</v>
      </c>
    </row>
    <row r="157" spans="2:11" x14ac:dyDescent="0.25">
      <c r="B157" t="s">
        <v>6</v>
      </c>
      <c r="F157" s="9"/>
      <c r="G157" s="9"/>
      <c r="H157" s="9"/>
      <c r="I157" s="9"/>
      <c r="J157" s="9"/>
      <c r="K157" s="9"/>
    </row>
    <row r="158" spans="2:11" x14ac:dyDescent="0.25">
      <c r="B158" t="s">
        <v>140</v>
      </c>
      <c r="C158" s="16"/>
      <c r="F158" s="61"/>
      <c r="G158" s="61"/>
      <c r="H158" s="61"/>
      <c r="I158" s="61"/>
      <c r="J158" s="61"/>
      <c r="K158" s="61"/>
    </row>
    <row r="159" spans="2:11" x14ac:dyDescent="0.25">
      <c r="B159" s="3" t="s">
        <v>141</v>
      </c>
      <c r="C159" s="87"/>
      <c r="D159" s="3"/>
      <c r="E159" s="3"/>
      <c r="F159" s="3"/>
      <c r="G159" s="63"/>
      <c r="H159" s="63"/>
      <c r="I159" s="63"/>
      <c r="J159" s="63"/>
      <c r="K159" s="63"/>
    </row>
    <row r="160" spans="2:11" x14ac:dyDescent="0.25">
      <c r="B160" s="86" t="s">
        <v>142</v>
      </c>
      <c r="F160" s="7"/>
      <c r="G160" s="9"/>
      <c r="H160" s="9"/>
      <c r="I160" s="9"/>
      <c r="J160" s="9"/>
      <c r="K160" s="9"/>
    </row>
    <row r="161" spans="2:12" x14ac:dyDescent="0.25">
      <c r="B161" t="str">
        <f>"-Senior"</f>
        <v>-Senior</v>
      </c>
      <c r="F161" s="7"/>
      <c r="G161" s="38"/>
      <c r="H161" s="38"/>
      <c r="I161" s="38"/>
      <c r="J161" s="38"/>
      <c r="K161" s="38"/>
    </row>
    <row r="162" spans="2:12" x14ac:dyDescent="0.25">
      <c r="B162" s="86" t="s">
        <v>143</v>
      </c>
      <c r="F162" s="7"/>
      <c r="G162" s="38"/>
      <c r="H162" s="38"/>
      <c r="I162" s="38"/>
      <c r="J162" s="38"/>
      <c r="K162" s="38"/>
    </row>
    <row r="163" spans="2:12" x14ac:dyDescent="0.25">
      <c r="B163" s="13" t="s">
        <v>144</v>
      </c>
      <c r="C163" s="13"/>
      <c r="D163" s="13"/>
      <c r="E163" s="13"/>
      <c r="F163" s="31">
        <f t="shared" ref="F163:G163" si="71">+F159+F160+F161+F162</f>
        <v>0</v>
      </c>
      <c r="G163" s="49">
        <f t="shared" si="71"/>
        <v>0</v>
      </c>
      <c r="H163" s="49">
        <f t="shared" ref="H163:K163" si="72">+H159+H160+H161+H162</f>
        <v>0</v>
      </c>
      <c r="I163" s="49">
        <f t="shared" si="72"/>
        <v>0</v>
      </c>
      <c r="J163" s="49">
        <f t="shared" si="72"/>
        <v>0</v>
      </c>
      <c r="K163" s="49">
        <f t="shared" si="72"/>
        <v>0</v>
      </c>
      <c r="L163" s="58"/>
    </row>
    <row r="164" spans="2:12" x14ac:dyDescent="0.25">
      <c r="C164" s="56"/>
      <c r="D164" s="56"/>
      <c r="L164" s="38"/>
    </row>
    <row r="165" spans="2:12" x14ac:dyDescent="0.25">
      <c r="B165" t="s">
        <v>145</v>
      </c>
      <c r="F165" s="38"/>
    </row>
    <row r="166" spans="2:12" x14ac:dyDescent="0.25">
      <c r="B166" t="s">
        <v>146</v>
      </c>
      <c r="C166" s="61"/>
      <c r="F166" s="81">
        <f>+Assumptions!H16</f>
        <v>4</v>
      </c>
      <c r="K166" s="33"/>
    </row>
    <row r="167" spans="2:12" x14ac:dyDescent="0.25">
      <c r="B167" t="s">
        <v>147</v>
      </c>
      <c r="F167" s="38">
        <f ca="1">+OFFSET($F$163,,F166)</f>
        <v>0</v>
      </c>
    </row>
    <row r="168" spans="2:12" ht="15.75" thickBot="1" x14ac:dyDescent="0.3"/>
    <row r="169" spans="2:12" ht="15.75" thickBot="1" x14ac:dyDescent="0.3">
      <c r="B169" s="88" t="s">
        <v>148</v>
      </c>
      <c r="C169" s="89"/>
      <c r="D169" s="89"/>
      <c r="E169" s="89"/>
      <c r="F169" s="90" t="e">
        <f ca="1">+(F167/F165)^(1/F166)-1</f>
        <v>#DIV/0!</v>
      </c>
    </row>
    <row r="174" spans="2:12" ht="17.25" x14ac:dyDescent="0.25">
      <c r="B174" s="39" t="s">
        <v>150</v>
      </c>
      <c r="C174" s="39"/>
      <c r="D174" s="39"/>
      <c r="E174" s="39"/>
      <c r="F174" s="39"/>
      <c r="G174" s="39"/>
      <c r="H174" s="39"/>
      <c r="I174" s="39"/>
      <c r="J174" s="39"/>
      <c r="K174" s="39"/>
    </row>
    <row r="177" spans="2:10" x14ac:dyDescent="0.25">
      <c r="B177" t="s">
        <v>151</v>
      </c>
      <c r="D177" s="59" t="e">
        <f ca="1">+F169</f>
        <v>#DIV/0!</v>
      </c>
      <c r="E177" s="53">
        <v>0.75</v>
      </c>
      <c r="F177" s="53">
        <f t="shared" ref="F177:J177" si="73">+E177+5%</f>
        <v>0.8</v>
      </c>
      <c r="G177" s="53">
        <f t="shared" si="73"/>
        <v>0.85000000000000009</v>
      </c>
      <c r="H177" s="53">
        <f t="shared" si="73"/>
        <v>0.90000000000000013</v>
      </c>
      <c r="I177" s="53">
        <f t="shared" si="73"/>
        <v>0.95000000000000018</v>
      </c>
      <c r="J177" s="53">
        <f t="shared" si="73"/>
        <v>1.0000000000000002</v>
      </c>
    </row>
    <row r="178" spans="2:10" x14ac:dyDescent="0.25">
      <c r="B178" t="s">
        <v>152</v>
      </c>
      <c r="D178">
        <v>50</v>
      </c>
      <c r="E178" s="59" t="e">
        <f t="dataTable" ref="E178:J194" dt2D="1" dtr="1" r1="C28" r2="D5" ca="1"/>
        <v>#DIV/0!</v>
      </c>
      <c r="F178" s="59" t="e">
        <v>#DIV/0!</v>
      </c>
      <c r="G178" s="59" t="e">
        <v>#DIV/0!</v>
      </c>
      <c r="H178" s="59" t="e">
        <v>#DIV/0!</v>
      </c>
      <c r="I178" s="59" t="e">
        <v>#DIV/0!</v>
      </c>
      <c r="J178" s="59" t="e">
        <v>#DIV/0!</v>
      </c>
    </row>
    <row r="179" spans="2:10" x14ac:dyDescent="0.25">
      <c r="D179">
        <f t="shared" ref="D179:D187" si="74">+D178+5</f>
        <v>55</v>
      </c>
      <c r="E179" s="59" t="e">
        <v>#DIV/0!</v>
      </c>
      <c r="F179" s="59" t="e">
        <v>#DIV/0!</v>
      </c>
      <c r="G179" s="59" t="e">
        <v>#DIV/0!</v>
      </c>
      <c r="H179" s="59" t="e">
        <v>#DIV/0!</v>
      </c>
      <c r="I179" s="59" t="e">
        <v>#DIV/0!</v>
      </c>
      <c r="J179" s="59" t="e">
        <v>#DIV/0!</v>
      </c>
    </row>
    <row r="180" spans="2:10" x14ac:dyDescent="0.25">
      <c r="D180">
        <f t="shared" si="74"/>
        <v>60</v>
      </c>
      <c r="E180" s="59" t="e">
        <v>#DIV/0!</v>
      </c>
      <c r="F180" s="59" t="e">
        <v>#DIV/0!</v>
      </c>
      <c r="G180" s="59" t="e">
        <v>#DIV/0!</v>
      </c>
      <c r="H180" s="59" t="e">
        <v>#DIV/0!</v>
      </c>
      <c r="I180" s="59" t="e">
        <v>#DIV/0!</v>
      </c>
      <c r="J180" s="59" t="e">
        <v>#DIV/0!</v>
      </c>
    </row>
    <row r="181" spans="2:10" x14ac:dyDescent="0.25">
      <c r="D181">
        <f t="shared" si="74"/>
        <v>65</v>
      </c>
      <c r="E181" s="59" t="e">
        <v>#DIV/0!</v>
      </c>
      <c r="F181" s="59" t="e">
        <v>#DIV/0!</v>
      </c>
      <c r="G181" s="59" t="e">
        <v>#DIV/0!</v>
      </c>
      <c r="H181" s="59" t="e">
        <v>#DIV/0!</v>
      </c>
      <c r="I181" s="59" t="e">
        <v>#DIV/0!</v>
      </c>
      <c r="J181" s="59" t="e">
        <v>#DIV/0!</v>
      </c>
    </row>
    <row r="182" spans="2:10" x14ac:dyDescent="0.25">
      <c r="D182">
        <f t="shared" si="74"/>
        <v>70</v>
      </c>
      <c r="E182" s="59" t="e">
        <v>#DIV/0!</v>
      </c>
      <c r="F182" s="59" t="e">
        <v>#DIV/0!</v>
      </c>
      <c r="G182" s="59" t="e">
        <v>#DIV/0!</v>
      </c>
      <c r="H182" s="59" t="e">
        <v>#DIV/0!</v>
      </c>
      <c r="I182" s="59" t="e">
        <v>#DIV/0!</v>
      </c>
      <c r="J182" s="59" t="e">
        <v>#DIV/0!</v>
      </c>
    </row>
    <row r="183" spans="2:10" x14ac:dyDescent="0.25">
      <c r="D183">
        <f t="shared" si="74"/>
        <v>75</v>
      </c>
      <c r="E183" s="59" t="e">
        <v>#DIV/0!</v>
      </c>
      <c r="F183" s="59" t="e">
        <v>#DIV/0!</v>
      </c>
      <c r="G183" s="59" t="e">
        <v>#DIV/0!</v>
      </c>
      <c r="H183" s="59" t="e">
        <v>#DIV/0!</v>
      </c>
      <c r="I183" s="59" t="e">
        <v>#DIV/0!</v>
      </c>
      <c r="J183" s="59" t="e">
        <v>#DIV/0!</v>
      </c>
    </row>
    <row r="184" spans="2:10" x14ac:dyDescent="0.25">
      <c r="D184">
        <f t="shared" si="74"/>
        <v>80</v>
      </c>
      <c r="E184" s="59" t="e">
        <v>#DIV/0!</v>
      </c>
      <c r="F184" s="59" t="e">
        <v>#DIV/0!</v>
      </c>
      <c r="G184" s="59" t="e">
        <v>#DIV/0!</v>
      </c>
      <c r="H184" s="59" t="e">
        <v>#DIV/0!</v>
      </c>
      <c r="I184" s="59" t="e">
        <v>#DIV/0!</v>
      </c>
      <c r="J184" s="59" t="e">
        <v>#DIV/0!</v>
      </c>
    </row>
    <row r="185" spans="2:10" x14ac:dyDescent="0.25">
      <c r="D185">
        <f t="shared" si="74"/>
        <v>85</v>
      </c>
      <c r="E185" s="59" t="e">
        <v>#DIV/0!</v>
      </c>
      <c r="F185" s="59" t="e">
        <v>#DIV/0!</v>
      </c>
      <c r="G185" s="59" t="e">
        <v>#DIV/0!</v>
      </c>
      <c r="H185" s="59" t="e">
        <v>#DIV/0!</v>
      </c>
      <c r="I185" s="59" t="e">
        <v>#DIV/0!</v>
      </c>
      <c r="J185" s="59" t="e">
        <v>#DIV/0!</v>
      </c>
    </row>
    <row r="186" spans="2:10" x14ac:dyDescent="0.25">
      <c r="D186">
        <f t="shared" si="74"/>
        <v>90</v>
      </c>
      <c r="E186" s="59" t="e">
        <v>#DIV/0!</v>
      </c>
      <c r="F186" s="59" t="e">
        <v>#DIV/0!</v>
      </c>
      <c r="G186" s="59" t="e">
        <v>#DIV/0!</v>
      </c>
      <c r="H186" s="59" t="e">
        <v>#DIV/0!</v>
      </c>
      <c r="I186" s="59" t="e">
        <v>#DIV/0!</v>
      </c>
      <c r="J186" s="59" t="e">
        <v>#DIV/0!</v>
      </c>
    </row>
    <row r="187" spans="2:10" x14ac:dyDescent="0.25">
      <c r="D187">
        <f t="shared" si="74"/>
        <v>95</v>
      </c>
      <c r="E187" s="59" t="e">
        <v>#DIV/0!</v>
      </c>
      <c r="F187" s="59" t="e">
        <v>#DIV/0!</v>
      </c>
      <c r="G187" s="59" t="e">
        <v>#DIV/0!</v>
      </c>
      <c r="H187" s="59" t="e">
        <v>#DIV/0!</v>
      </c>
      <c r="I187" s="59" t="e">
        <v>#DIV/0!</v>
      </c>
      <c r="J187" s="59" t="e">
        <v>#DIV/0!</v>
      </c>
    </row>
    <row r="188" spans="2:10" x14ac:dyDescent="0.25">
      <c r="D188">
        <f t="shared" ref="D188:D194" si="75">+D187+5</f>
        <v>100</v>
      </c>
      <c r="E188" s="59" t="e">
        <v>#DIV/0!</v>
      </c>
      <c r="F188" s="59" t="e">
        <v>#DIV/0!</v>
      </c>
      <c r="G188" s="59" t="e">
        <v>#DIV/0!</v>
      </c>
      <c r="H188" s="59" t="e">
        <v>#DIV/0!</v>
      </c>
      <c r="I188" s="59" t="e">
        <v>#DIV/0!</v>
      </c>
      <c r="J188" s="59" t="e">
        <v>#DIV/0!</v>
      </c>
    </row>
    <row r="189" spans="2:10" x14ac:dyDescent="0.25">
      <c r="D189">
        <f t="shared" si="75"/>
        <v>105</v>
      </c>
      <c r="E189" s="59" t="e">
        <v>#DIV/0!</v>
      </c>
      <c r="F189" s="59" t="e">
        <v>#DIV/0!</v>
      </c>
      <c r="G189" s="59" t="e">
        <v>#DIV/0!</v>
      </c>
      <c r="H189" s="59" t="e">
        <v>#DIV/0!</v>
      </c>
      <c r="I189" s="59" t="e">
        <v>#DIV/0!</v>
      </c>
      <c r="J189" s="59" t="e">
        <v>#DIV/0!</v>
      </c>
    </row>
    <row r="190" spans="2:10" x14ac:dyDescent="0.25">
      <c r="D190">
        <f t="shared" si="75"/>
        <v>110</v>
      </c>
      <c r="E190" s="59" t="e">
        <v>#DIV/0!</v>
      </c>
      <c r="F190" s="59" t="e">
        <v>#DIV/0!</v>
      </c>
      <c r="G190" s="59" t="e">
        <v>#DIV/0!</v>
      </c>
      <c r="H190" s="59" t="e">
        <v>#DIV/0!</v>
      </c>
      <c r="I190" s="59" t="e">
        <v>#DIV/0!</v>
      </c>
      <c r="J190" s="59" t="e">
        <v>#DIV/0!</v>
      </c>
    </row>
    <row r="191" spans="2:10" x14ac:dyDescent="0.25">
      <c r="D191">
        <f t="shared" si="75"/>
        <v>115</v>
      </c>
      <c r="E191" s="59" t="e">
        <v>#DIV/0!</v>
      </c>
      <c r="F191" s="59" t="e">
        <v>#DIV/0!</v>
      </c>
      <c r="G191" s="59" t="e">
        <v>#DIV/0!</v>
      </c>
      <c r="H191" s="59" t="e">
        <v>#DIV/0!</v>
      </c>
      <c r="I191" s="59" t="e">
        <v>#DIV/0!</v>
      </c>
      <c r="J191" s="59" t="e">
        <v>#DIV/0!</v>
      </c>
    </row>
    <row r="192" spans="2:10" x14ac:dyDescent="0.25">
      <c r="D192">
        <f t="shared" si="75"/>
        <v>120</v>
      </c>
      <c r="E192" s="59" t="e">
        <v>#DIV/0!</v>
      </c>
      <c r="F192" s="59" t="e">
        <v>#DIV/0!</v>
      </c>
      <c r="G192" s="59" t="e">
        <v>#DIV/0!</v>
      </c>
      <c r="H192" s="59" t="e">
        <v>#DIV/0!</v>
      </c>
      <c r="I192" s="59" t="e">
        <v>#DIV/0!</v>
      </c>
      <c r="J192" s="59" t="e">
        <v>#DIV/0!</v>
      </c>
    </row>
    <row r="193" spans="2:10" x14ac:dyDescent="0.25">
      <c r="D193">
        <f t="shared" si="75"/>
        <v>125</v>
      </c>
      <c r="E193" s="59" t="e">
        <v>#DIV/0!</v>
      </c>
      <c r="F193" s="59" t="e">
        <v>#DIV/0!</v>
      </c>
      <c r="G193" s="59" t="e">
        <v>#DIV/0!</v>
      </c>
      <c r="H193" s="59" t="e">
        <v>#DIV/0!</v>
      </c>
      <c r="I193" s="59" t="e">
        <v>#DIV/0!</v>
      </c>
      <c r="J193" s="59" t="e">
        <v>#DIV/0!</v>
      </c>
    </row>
    <row r="194" spans="2:10" x14ac:dyDescent="0.25">
      <c r="D194">
        <f t="shared" si="75"/>
        <v>130</v>
      </c>
      <c r="E194" s="59" t="e">
        <v>#DIV/0!</v>
      </c>
      <c r="F194" s="59" t="e">
        <v>#DIV/0!</v>
      </c>
      <c r="G194" s="59" t="e">
        <v>#DIV/0!</v>
      </c>
      <c r="H194" s="59" t="e">
        <v>#DIV/0!</v>
      </c>
      <c r="I194" s="59" t="e">
        <v>#DIV/0!</v>
      </c>
      <c r="J194" s="59" t="e">
        <v>#DIV/0!</v>
      </c>
    </row>
    <row r="196" spans="2:10" x14ac:dyDescent="0.25">
      <c r="B196" t="s">
        <v>154</v>
      </c>
      <c r="E196" s="38">
        <f t="shared" ref="E196:I196" ca="1" si="76">+E177*$J$196</f>
        <v>0</v>
      </c>
      <c r="F196" s="38">
        <f t="shared" ca="1" si="76"/>
        <v>0</v>
      </c>
      <c r="G196" s="38">
        <f t="shared" ca="1" si="76"/>
        <v>0</v>
      </c>
      <c r="H196" s="38">
        <f t="shared" ca="1" si="76"/>
        <v>0</v>
      </c>
      <c r="I196" s="38">
        <f t="shared" ca="1" si="76"/>
        <v>0</v>
      </c>
      <c r="J196" s="38">
        <f ca="1">+OFFSET(F157,,F166)</f>
        <v>0</v>
      </c>
    </row>
    <row r="198" spans="2:10" x14ac:dyDescent="0.25">
      <c r="B198" t="s">
        <v>153</v>
      </c>
      <c r="C198" s="55" t="str">
        <f>+"&gt;"&amp;Assumptions!H19</f>
        <v>&gt;0.25</v>
      </c>
      <c r="E198" s="38" t="e">
        <f ca="1">+OFFSET($D$177,COUNTIF(E178:E194,$C$198),0)</f>
        <v>#DIV/0!</v>
      </c>
      <c r="F198" s="94" t="e">
        <f ca="1">+OFFSET($D$177,COUNTIF(F178:F194,$C$198),0)</f>
        <v>#DIV/0!</v>
      </c>
      <c r="G198" s="94" t="e">
        <f ca="1">+OFFSET($D$177,COUNTIF(G178:G194,$C$198),0)</f>
        <v>#DIV/0!</v>
      </c>
      <c r="H198" s="38" t="e">
        <f t="shared" ref="H198:J198" ca="1" si="77">+OFFSET($D$177,COUNTIF(H178:H194,$C$198),0)</f>
        <v>#DIV/0!</v>
      </c>
      <c r="I198" s="38" t="e">
        <f t="shared" ca="1" si="77"/>
        <v>#DIV/0!</v>
      </c>
      <c r="J198" s="38" t="e">
        <f t="shared" ca="1" si="77"/>
        <v>#DIV/0!</v>
      </c>
    </row>
  </sheetData>
  <conditionalFormatting sqref="F64:K64">
    <cfRule type="cellIs" dxfId="1" priority="1" operator="notEqual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3:N42"/>
  <sheetViews>
    <sheetView topLeftCell="B1" zoomScaleNormal="100" workbookViewId="0">
      <selection activeCell="G33" sqref="G33"/>
    </sheetView>
  </sheetViews>
  <sheetFormatPr defaultRowHeight="15" x14ac:dyDescent="0.25"/>
  <cols>
    <col min="2" max="2" width="19.28515625" bestFit="1" customWidth="1"/>
    <col min="6" max="11" width="16.7109375" customWidth="1"/>
    <col min="13" max="13" width="15.85546875" bestFit="1" customWidth="1"/>
  </cols>
  <sheetData>
    <row r="3" spans="1:12" x14ac:dyDescent="0.25">
      <c r="B3" t="s">
        <v>177</v>
      </c>
      <c r="C3">
        <f>'Company Financials'!F10</f>
        <v>12</v>
      </c>
    </row>
    <row r="5" spans="1:12" x14ac:dyDescent="0.25">
      <c r="B5" s="2" t="s">
        <v>102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B6" s="23" t="s">
        <v>92</v>
      </c>
      <c r="C6" s="4"/>
      <c r="D6" s="4"/>
      <c r="E6" s="5"/>
      <c r="F6" s="5"/>
      <c r="G6" s="6" t="s">
        <v>117</v>
      </c>
      <c r="H6" s="6"/>
      <c r="I6" s="6"/>
      <c r="J6" s="6"/>
      <c r="K6" s="6"/>
      <c r="L6" s="6"/>
    </row>
    <row r="7" spans="1:12" x14ac:dyDescent="0.25">
      <c r="B7" s="76"/>
      <c r="C7" s="25"/>
      <c r="D7" s="25"/>
      <c r="E7" s="26"/>
      <c r="F7" s="26"/>
      <c r="G7" s="27"/>
      <c r="H7" s="27"/>
      <c r="I7" s="27"/>
      <c r="J7" s="27"/>
      <c r="K7" s="27"/>
      <c r="L7" s="27"/>
    </row>
    <row r="8" spans="1:12" x14ac:dyDescent="0.25">
      <c r="B8" s="3" t="s">
        <v>113</v>
      </c>
      <c r="C8" s="134">
        <f>Assumptions!H7</f>
        <v>2.5</v>
      </c>
      <c r="D8" s="3"/>
      <c r="E8" s="136">
        <f>F8/$F$11</f>
        <v>0.42016806722689071</v>
      </c>
      <c r="F8" s="10">
        <f>$C$3*C8</f>
        <v>30</v>
      </c>
      <c r="G8" s="10" t="s">
        <v>180</v>
      </c>
      <c r="H8" s="10"/>
      <c r="I8" s="10"/>
      <c r="J8" s="10"/>
      <c r="K8" s="132">
        <v>70</v>
      </c>
      <c r="L8" s="36"/>
    </row>
    <row r="9" spans="1:12" x14ac:dyDescent="0.25">
      <c r="B9" s="3" t="s">
        <v>114</v>
      </c>
      <c r="C9">
        <f>Assumptions!H10</f>
        <v>1</v>
      </c>
      <c r="E9" s="136">
        <f>F9/$F$11</f>
        <v>0.16806722689075629</v>
      </c>
      <c r="F9" s="10">
        <f>$C$3*C9</f>
        <v>12</v>
      </c>
      <c r="G9" s="9" t="s">
        <v>118</v>
      </c>
      <c r="H9" s="135">
        <f>Assumptions!H17</f>
        <v>0.02</v>
      </c>
      <c r="I9" s="9"/>
      <c r="J9" s="9"/>
      <c r="K9" s="9">
        <f>H9*K8</f>
        <v>1.4000000000000001</v>
      </c>
      <c r="L9" s="36"/>
    </row>
    <row r="10" spans="1:12" x14ac:dyDescent="0.25">
      <c r="A10" t="s">
        <v>179</v>
      </c>
      <c r="B10" s="3" t="s">
        <v>39</v>
      </c>
      <c r="E10" s="136">
        <f>F10/$F$11</f>
        <v>0.41176470588235298</v>
      </c>
      <c r="F10" s="10">
        <f>F11-F9-F8</f>
        <v>29.400000000000006</v>
      </c>
      <c r="G10" s="10"/>
      <c r="H10" s="10"/>
      <c r="I10" s="10"/>
      <c r="J10" s="10"/>
      <c r="K10" s="10"/>
      <c r="L10" s="36"/>
    </row>
    <row r="11" spans="1:12" x14ac:dyDescent="0.25">
      <c r="B11" t="s">
        <v>121</v>
      </c>
      <c r="E11" s="136">
        <f>F11/$F$11</f>
        <v>1</v>
      </c>
      <c r="F11" s="133">
        <f>K11</f>
        <v>71.400000000000006</v>
      </c>
      <c r="G11" t="s">
        <v>121</v>
      </c>
      <c r="J11" s="9"/>
      <c r="K11" s="133">
        <f>+K8+K9</f>
        <v>71.400000000000006</v>
      </c>
      <c r="L11" s="33" t="str">
        <f>+IF(F11=K11,"OK","FALSE!!!!")</f>
        <v>OK</v>
      </c>
    </row>
    <row r="13" spans="1:12" x14ac:dyDescent="0.25">
      <c r="F13" t="s">
        <v>178</v>
      </c>
    </row>
    <row r="15" spans="1:12" x14ac:dyDescent="0.25">
      <c r="B15" s="2" t="s">
        <v>23</v>
      </c>
      <c r="C15" s="2"/>
      <c r="D15" s="2"/>
      <c r="E15" s="2"/>
      <c r="F15" s="2"/>
      <c r="G15" s="2"/>
      <c r="H15" s="2"/>
      <c r="I15" s="2"/>
      <c r="J15" s="2"/>
      <c r="K15" s="2"/>
    </row>
    <row r="16" spans="1:12" x14ac:dyDescent="0.25">
      <c r="B16" s="4" t="str">
        <f>+B6</f>
        <v>Sources</v>
      </c>
      <c r="C16" s="4"/>
      <c r="D16" s="4"/>
      <c r="E16" s="5"/>
      <c r="F16" s="75" t="s">
        <v>115</v>
      </c>
      <c r="G16" s="6" t="s">
        <v>116</v>
      </c>
      <c r="H16" s="6" t="s">
        <v>122</v>
      </c>
      <c r="I16" s="6" t="s">
        <v>126</v>
      </c>
      <c r="J16" s="6" t="s">
        <v>119</v>
      </c>
      <c r="K16" s="6" t="s">
        <v>127</v>
      </c>
    </row>
    <row r="17" spans="2:14" x14ac:dyDescent="0.25">
      <c r="B17" s="25" t="s">
        <v>32</v>
      </c>
      <c r="C17" s="25"/>
      <c r="D17" s="25"/>
      <c r="E17" s="26"/>
      <c r="F17" s="26"/>
      <c r="G17" s="27"/>
      <c r="H17" s="27"/>
      <c r="I17" s="27"/>
      <c r="J17" s="27"/>
      <c r="K17" s="27"/>
    </row>
    <row r="18" spans="2:14" x14ac:dyDescent="0.25">
      <c r="B18" t="s">
        <v>24</v>
      </c>
      <c r="E18" s="9"/>
      <c r="F18" s="8">
        <f>+'Company Financials'!F28</f>
        <v>20</v>
      </c>
      <c r="G18" s="7">
        <f>-F29-F32</f>
        <v>-25</v>
      </c>
      <c r="H18" s="7">
        <f>H35</f>
        <v>71.400000000000006</v>
      </c>
      <c r="I18" s="7">
        <v>-65</v>
      </c>
      <c r="J18" s="7">
        <f>-K9</f>
        <v>-1.4000000000000001</v>
      </c>
      <c r="K18" s="33">
        <f t="shared" ref="K18:K24" si="0">+SUM(F18:J18)</f>
        <v>5.5511151231257827E-15</v>
      </c>
      <c r="M18" t="s">
        <v>180</v>
      </c>
      <c r="N18" s="9">
        <f>K8</f>
        <v>70</v>
      </c>
    </row>
    <row r="19" spans="2:14" x14ac:dyDescent="0.25">
      <c r="B19" t="s">
        <v>25</v>
      </c>
      <c r="C19" s="24"/>
      <c r="E19" s="18"/>
      <c r="F19" s="8">
        <f>+'Company Financials'!F29</f>
        <v>10</v>
      </c>
      <c r="G19" s="48"/>
      <c r="H19" s="48"/>
      <c r="I19" s="48"/>
      <c r="J19" s="48"/>
      <c r="K19" s="77">
        <f t="shared" si="0"/>
        <v>10</v>
      </c>
      <c r="M19" t="s">
        <v>181</v>
      </c>
      <c r="N19" s="7">
        <f>-(F32+F29)</f>
        <v>-25</v>
      </c>
    </row>
    <row r="20" spans="2:14" x14ac:dyDescent="0.25">
      <c r="B20" t="s">
        <v>26</v>
      </c>
      <c r="F20" s="8">
        <f>+'Company Financials'!F30</f>
        <v>30</v>
      </c>
      <c r="G20" s="7"/>
      <c r="H20" s="7"/>
      <c r="I20" s="7"/>
      <c r="J20" s="7"/>
      <c r="K20" s="33">
        <f t="shared" si="0"/>
        <v>30</v>
      </c>
      <c r="M20" s="11" t="s">
        <v>182</v>
      </c>
      <c r="N20" s="29">
        <f>F18</f>
        <v>20</v>
      </c>
    </row>
    <row r="21" spans="2:14" x14ac:dyDescent="0.25">
      <c r="B21" s="11" t="s">
        <v>27</v>
      </c>
      <c r="C21" s="11"/>
      <c r="D21" s="11"/>
      <c r="E21" s="11"/>
      <c r="F21" s="29">
        <f>+'Company Financials'!F31</f>
        <v>5</v>
      </c>
      <c r="G21" s="29"/>
      <c r="H21" s="29"/>
      <c r="I21" s="29"/>
      <c r="J21" s="29"/>
      <c r="K21" s="78">
        <f t="shared" si="0"/>
        <v>5</v>
      </c>
      <c r="M21" t="s">
        <v>183</v>
      </c>
      <c r="N21" s="133">
        <f>N18+N19+N20</f>
        <v>65</v>
      </c>
    </row>
    <row r="22" spans="2:14" x14ac:dyDescent="0.25">
      <c r="B22" s="3" t="s">
        <v>28</v>
      </c>
      <c r="C22" s="3"/>
      <c r="D22" s="3"/>
      <c r="E22" s="3"/>
      <c r="F22" s="30">
        <f>+SUM(F18:F21)</f>
        <v>65</v>
      </c>
      <c r="G22" s="30">
        <f t="shared" ref="G22:K22" si="1">+SUM(G18:G21)</f>
        <v>-25</v>
      </c>
      <c r="H22" s="30">
        <f t="shared" si="1"/>
        <v>71.400000000000006</v>
      </c>
      <c r="I22" s="30">
        <f t="shared" si="1"/>
        <v>-65</v>
      </c>
      <c r="J22" s="30">
        <f t="shared" si="1"/>
        <v>-1.4000000000000001</v>
      </c>
      <c r="K22" s="30">
        <f t="shared" si="1"/>
        <v>45.000000000000007</v>
      </c>
    </row>
    <row r="23" spans="2:14" x14ac:dyDescent="0.25">
      <c r="B23" t="s">
        <v>29</v>
      </c>
      <c r="F23" s="8">
        <f>+'Company Financials'!F33</f>
        <v>25</v>
      </c>
      <c r="G23" s="7"/>
      <c r="H23" s="7"/>
      <c r="I23" s="7"/>
      <c r="J23" s="7"/>
      <c r="K23" s="33">
        <f t="shared" si="0"/>
        <v>25</v>
      </c>
      <c r="M23" t="s">
        <v>184</v>
      </c>
      <c r="N23" s="7">
        <f>F34</f>
        <v>55</v>
      </c>
    </row>
    <row r="24" spans="2:14" ht="15.75" thickBot="1" x14ac:dyDescent="0.3">
      <c r="B24" s="20" t="s">
        <v>30</v>
      </c>
      <c r="C24" s="20"/>
      <c r="D24" s="20"/>
      <c r="E24" s="20"/>
      <c r="F24" s="22">
        <f>+'Company Financials'!F34</f>
        <v>0</v>
      </c>
      <c r="G24" s="22"/>
      <c r="H24" s="22"/>
      <c r="I24" s="22">
        <f>N24</f>
        <v>10</v>
      </c>
      <c r="J24" s="22"/>
      <c r="K24" s="79">
        <f t="shared" si="0"/>
        <v>10</v>
      </c>
      <c r="M24" t="s">
        <v>185</v>
      </c>
      <c r="N24" s="133">
        <f>N21-N23</f>
        <v>10</v>
      </c>
    </row>
    <row r="25" spans="2:14" ht="15.75" thickTop="1" x14ac:dyDescent="0.25">
      <c r="B25" s="3" t="s">
        <v>31</v>
      </c>
      <c r="C25" s="3"/>
      <c r="D25" s="3"/>
      <c r="E25" s="3"/>
      <c r="F25" s="15">
        <f>+F22+F23+F24</f>
        <v>90</v>
      </c>
      <c r="G25" s="15">
        <f t="shared" ref="G25:K25" si="2">+G22+G23+G24</f>
        <v>-25</v>
      </c>
      <c r="H25" s="15">
        <f t="shared" si="2"/>
        <v>71.400000000000006</v>
      </c>
      <c r="I25" s="15">
        <f t="shared" si="2"/>
        <v>-55</v>
      </c>
      <c r="J25" s="15">
        <f t="shared" si="2"/>
        <v>-1.4000000000000001</v>
      </c>
      <c r="K25" s="15">
        <f t="shared" si="2"/>
        <v>80</v>
      </c>
    </row>
    <row r="26" spans="2:14" x14ac:dyDescent="0.25">
      <c r="F26" s="7"/>
      <c r="G26" s="7"/>
      <c r="H26" s="7"/>
      <c r="I26" s="7"/>
      <c r="J26" s="7"/>
      <c r="K26" s="33"/>
    </row>
    <row r="27" spans="2:14" x14ac:dyDescent="0.25">
      <c r="B27" s="25" t="s">
        <v>33</v>
      </c>
      <c r="F27" s="7"/>
      <c r="G27" s="7"/>
      <c r="H27" s="7"/>
      <c r="I27" s="7"/>
      <c r="J27" s="7"/>
      <c r="K27" s="33"/>
    </row>
    <row r="28" spans="2:14" x14ac:dyDescent="0.25">
      <c r="B28" t="s">
        <v>34</v>
      </c>
      <c r="F28" s="8">
        <f>+'Company Financials'!F38</f>
        <v>0</v>
      </c>
      <c r="G28" s="7"/>
      <c r="H28" s="7"/>
      <c r="I28" s="7"/>
      <c r="J28" s="7"/>
      <c r="K28" s="33">
        <f t="shared" ref="K28:K30" si="3">+SUM(F28:J28)</f>
        <v>0</v>
      </c>
    </row>
    <row r="29" spans="2:14" x14ac:dyDescent="0.25">
      <c r="B29" t="s">
        <v>35</v>
      </c>
      <c r="F29" s="8">
        <f>+'Company Financials'!F39</f>
        <v>5</v>
      </c>
      <c r="G29" s="7">
        <v>-5</v>
      </c>
      <c r="H29" s="7"/>
      <c r="I29" s="7"/>
      <c r="J29" s="7"/>
      <c r="K29" s="33">
        <f t="shared" si="3"/>
        <v>0</v>
      </c>
    </row>
    <row r="30" spans="2:14" x14ac:dyDescent="0.25">
      <c r="B30" t="s">
        <v>36</v>
      </c>
      <c r="F30" s="8">
        <f>+'Company Financials'!F40</f>
        <v>10</v>
      </c>
      <c r="G30" s="7"/>
      <c r="H30" s="7"/>
      <c r="I30" s="7"/>
      <c r="J30" s="7"/>
      <c r="K30" s="33">
        <f t="shared" si="3"/>
        <v>10</v>
      </c>
    </row>
    <row r="31" spans="2:14" x14ac:dyDescent="0.25">
      <c r="B31" s="13" t="s">
        <v>37</v>
      </c>
      <c r="C31" s="13"/>
      <c r="D31" s="13"/>
      <c r="E31" s="13"/>
      <c r="F31" s="57">
        <f>SUM(F28:F30)</f>
        <v>15</v>
      </c>
      <c r="G31" s="57">
        <f t="shared" ref="G31:K31" si="4">SUM(G28:G30)</f>
        <v>-5</v>
      </c>
      <c r="H31" s="57">
        <f t="shared" si="4"/>
        <v>0</v>
      </c>
      <c r="I31" s="57">
        <f t="shared" si="4"/>
        <v>0</v>
      </c>
      <c r="J31" s="57">
        <f t="shared" si="4"/>
        <v>0</v>
      </c>
      <c r="K31" s="57">
        <f t="shared" si="4"/>
        <v>10</v>
      </c>
    </row>
    <row r="32" spans="2:14" x14ac:dyDescent="0.25">
      <c r="B32" t="s">
        <v>93</v>
      </c>
      <c r="F32" s="8">
        <f>+'Company Financials'!F42</f>
        <v>20</v>
      </c>
      <c r="G32" s="7">
        <v>-20</v>
      </c>
      <c r="H32" s="38">
        <f>F8</f>
        <v>30</v>
      </c>
      <c r="I32" s="7"/>
      <c r="J32" s="7"/>
      <c r="K32" s="33">
        <f t="shared" ref="K32:K34" si="5">+SUM(F32:J32)</f>
        <v>30</v>
      </c>
    </row>
    <row r="33" spans="2:11" x14ac:dyDescent="0.25">
      <c r="B33" t="s">
        <v>94</v>
      </c>
      <c r="F33" s="8"/>
      <c r="G33" s="7"/>
      <c r="H33" s="7">
        <f>F9</f>
        <v>12</v>
      </c>
      <c r="I33" s="7"/>
      <c r="J33" s="7"/>
      <c r="K33" s="33">
        <f t="shared" si="5"/>
        <v>12</v>
      </c>
    </row>
    <row r="34" spans="2:11" ht="15.75" thickBot="1" x14ac:dyDescent="0.3">
      <c r="B34" t="s">
        <v>39</v>
      </c>
      <c r="F34" s="8">
        <f>+'Company Financials'!F43</f>
        <v>55</v>
      </c>
      <c r="G34" s="7"/>
      <c r="H34" s="7">
        <f>F10</f>
        <v>29.400000000000006</v>
      </c>
      <c r="I34" s="7"/>
      <c r="J34" s="7"/>
      <c r="K34" s="33">
        <f t="shared" si="5"/>
        <v>84.4</v>
      </c>
    </row>
    <row r="35" spans="2:11" ht="15.75" thickTop="1" x14ac:dyDescent="0.25">
      <c r="B35" s="28" t="s">
        <v>40</v>
      </c>
      <c r="C35" s="28"/>
      <c r="D35" s="28"/>
      <c r="E35" s="28"/>
      <c r="F35" s="32">
        <f>SUM(F31:F34)</f>
        <v>90</v>
      </c>
      <c r="G35" s="32">
        <f t="shared" ref="G35:K35" si="6">SUM(G31:G34)</f>
        <v>-25</v>
      </c>
      <c r="H35" s="32">
        <f t="shared" si="6"/>
        <v>71.400000000000006</v>
      </c>
      <c r="I35" s="32">
        <f t="shared" si="6"/>
        <v>0</v>
      </c>
      <c r="J35" s="32">
        <f t="shared" si="6"/>
        <v>0</v>
      </c>
      <c r="K35" s="32">
        <f t="shared" si="6"/>
        <v>136.4</v>
      </c>
    </row>
    <row r="36" spans="2:11" x14ac:dyDescent="0.25">
      <c r="B36" s="17" t="s">
        <v>41</v>
      </c>
      <c r="F36" s="33"/>
      <c r="G36" s="33"/>
      <c r="H36" s="33"/>
      <c r="I36" s="33"/>
      <c r="J36" s="33"/>
      <c r="K36" s="33"/>
    </row>
    <row r="37" spans="2:11" x14ac:dyDescent="0.25">
      <c r="K37" s="33">
        <f>+K35-K25</f>
        <v>56.400000000000006</v>
      </c>
    </row>
    <row r="39" spans="2:11" x14ac:dyDescent="0.25">
      <c r="B39" t="s">
        <v>124</v>
      </c>
    </row>
    <row r="40" spans="2:11" x14ac:dyDescent="0.25">
      <c r="B40" t="s">
        <v>113</v>
      </c>
      <c r="E40" s="9">
        <f>+E8</f>
        <v>0.42016806722689071</v>
      </c>
    </row>
    <row r="41" spans="2:11" x14ac:dyDescent="0.25">
      <c r="B41" t="s">
        <v>76</v>
      </c>
      <c r="E41" s="69">
        <f>+Assumptions!H9</f>
        <v>8</v>
      </c>
    </row>
    <row r="42" spans="2:11" x14ac:dyDescent="0.25">
      <c r="B42" t="s">
        <v>125</v>
      </c>
      <c r="E42">
        <f>+E40/E41</f>
        <v>5.2521008403361338E-2</v>
      </c>
    </row>
  </sheetData>
  <conditionalFormatting sqref="F36:K36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C2:F14"/>
  <sheetViews>
    <sheetView zoomScale="150" zoomScaleNormal="150" workbookViewId="0">
      <selection activeCell="E6" sqref="E6"/>
    </sheetView>
  </sheetViews>
  <sheetFormatPr defaultRowHeight="15" x14ac:dyDescent="0.25"/>
  <sheetData>
    <row r="2" spans="3:6" x14ac:dyDescent="0.25">
      <c r="C2" t="s">
        <v>1</v>
      </c>
    </row>
    <row r="3" spans="3:6" x14ac:dyDescent="0.25">
      <c r="E3" s="1">
        <v>2013</v>
      </c>
      <c r="F3" s="1">
        <f>+E3+1</f>
        <v>2014</v>
      </c>
    </row>
    <row r="4" spans="3:6" x14ac:dyDescent="0.25">
      <c r="C4" t="s">
        <v>0</v>
      </c>
      <c r="E4" s="9">
        <v>100</v>
      </c>
      <c r="F4" s="9">
        <v>120</v>
      </c>
    </row>
    <row r="5" spans="3:6" x14ac:dyDescent="0.25">
      <c r="C5" t="s">
        <v>2</v>
      </c>
      <c r="E5" s="9">
        <v>-50</v>
      </c>
      <c r="F5" s="9">
        <v>-65</v>
      </c>
    </row>
    <row r="6" spans="3:6" x14ac:dyDescent="0.25">
      <c r="C6" s="3" t="s">
        <v>3</v>
      </c>
      <c r="D6" s="3"/>
      <c r="E6" s="10">
        <f t="shared" ref="E6:F6" si="0">+E4+E5</f>
        <v>50</v>
      </c>
      <c r="F6" s="10">
        <f t="shared" si="0"/>
        <v>55</v>
      </c>
    </row>
    <row r="7" spans="3:6" x14ac:dyDescent="0.25">
      <c r="C7" t="s">
        <v>4</v>
      </c>
      <c r="E7" s="9">
        <v>-20</v>
      </c>
      <c r="F7" s="9">
        <v>-22</v>
      </c>
    </row>
    <row r="8" spans="3:6" x14ac:dyDescent="0.25">
      <c r="C8" t="s">
        <v>5</v>
      </c>
      <c r="E8" s="9">
        <v>-20</v>
      </c>
      <c r="F8" s="9">
        <v>-21</v>
      </c>
    </row>
    <row r="9" spans="3:6" x14ac:dyDescent="0.25">
      <c r="C9" t="s">
        <v>6</v>
      </c>
      <c r="E9" s="9">
        <f t="shared" ref="E9:F9" si="1">+E6+E7+E8</f>
        <v>10</v>
      </c>
      <c r="F9" s="9">
        <f t="shared" si="1"/>
        <v>12</v>
      </c>
    </row>
    <row r="10" spans="3:6" x14ac:dyDescent="0.25">
      <c r="E10" s="9"/>
      <c r="F10" s="9"/>
    </row>
    <row r="11" spans="3:6" x14ac:dyDescent="0.25">
      <c r="E11" s="9"/>
      <c r="F11" s="9"/>
    </row>
    <row r="12" spans="3:6" x14ac:dyDescent="0.25">
      <c r="E12" s="9"/>
      <c r="F12" s="9"/>
    </row>
    <row r="13" spans="3:6" x14ac:dyDescent="0.25">
      <c r="E13" s="9"/>
      <c r="F13" s="9"/>
    </row>
    <row r="14" spans="3:6" x14ac:dyDescent="0.25">
      <c r="E14" s="9"/>
      <c r="F14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Assumptions</vt:lpstr>
      <vt:lpstr>Company Financials</vt:lpstr>
      <vt:lpstr>LBO Model</vt:lpstr>
      <vt:lpstr>LBO Model Acquisition BS</vt:lpstr>
      <vt:lpstr>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</dc:creator>
  <cp:lastModifiedBy>zeben</cp:lastModifiedBy>
  <cp:lastPrinted>2014-10-06T22:33:55Z</cp:lastPrinted>
  <dcterms:created xsi:type="dcterms:W3CDTF">2014-10-05T13:58:37Z</dcterms:created>
  <dcterms:modified xsi:type="dcterms:W3CDTF">2015-10-04T16:33:15Z</dcterms:modified>
</cp:coreProperties>
</file>