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QhuNS6IVI+Q6OvWEyIMmujmAtC2IMe5NSX7ncu5zaG2arr/hotomdyMWtek/QQcWxW7CgNjMoNJHVQTOQCJEw==" workbookSaltValue="ZbJ/YbB6PU5pHsgnXz/7Tg==" workbookSpinCount="100000" lockStructure="1"/>
  <bookViews>
    <workbookView xWindow="0" yWindow="0" windowWidth="24000" windowHeight="9630" activeTab="3"/>
  </bookViews>
  <sheets>
    <sheet name="Cover Sheet" sheetId="1" r:id="rId1"/>
    <sheet name="Assumptions" sheetId="2" r:id="rId2"/>
    <sheet name="FSM" sheetId="3" r:id="rId3"/>
    <sheet name="DCF with Stub &amp; Mid Year" sheetId="4" r:id="rId4"/>
  </sheets>
  <definedNames>
    <definedName name="_xlnm._FilterDatabase" localSheetId="0" hidden="1">'Cover Sheet'!$D$18:$D$20</definedName>
    <definedName name="circ">'Cover Sheet'!$C$30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41198.7456365741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wacc" localSheetId="3">'DCF with Stub &amp; Mid Year'!$C$29</definedName>
    <definedName name="Z_1299EFDF_911C_49A5_93A5_0AFEBB33ED0F_.wvu.FilterData" localSheetId="0" hidden="1">'Cover Sheet'!$D$18:$D$20</definedName>
  </definedNames>
  <calcPr calcId="145621" calcMode="autoNoTable" iterate="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4" l="1"/>
  <c r="J141" i="4" l="1"/>
  <c r="F141" i="4"/>
  <c r="F140" i="4"/>
  <c r="J140" i="4" s="1"/>
  <c r="J139" i="4"/>
  <c r="F139" i="4"/>
  <c r="F138" i="4"/>
  <c r="J138" i="4" s="1"/>
  <c r="F137" i="4"/>
  <c r="J137" i="4" s="1"/>
  <c r="F136" i="4"/>
  <c r="J136" i="4" s="1"/>
  <c r="D124" i="4"/>
  <c r="D123" i="4"/>
  <c r="C122" i="4"/>
  <c r="D122" i="4" s="1"/>
  <c r="C101" i="4"/>
  <c r="C88" i="4"/>
  <c r="C87" i="4"/>
  <c r="C86" i="4"/>
  <c r="C85" i="4"/>
  <c r="C68" i="4"/>
  <c r="C60" i="4"/>
  <c r="G58" i="4"/>
  <c r="G59" i="4" s="1"/>
  <c r="I57" i="4"/>
  <c r="H57" i="4"/>
  <c r="K54" i="4"/>
  <c r="J54" i="4"/>
  <c r="I54" i="4"/>
  <c r="H54" i="4"/>
  <c r="G54" i="4"/>
  <c r="H49" i="4"/>
  <c r="C30" i="4"/>
  <c r="D30" i="4" s="1"/>
  <c r="C29" i="4"/>
  <c r="D29" i="4" s="1"/>
  <c r="C28" i="4"/>
  <c r="C24" i="4"/>
  <c r="C27" i="4" s="1"/>
  <c r="C10" i="4"/>
  <c r="E104" i="4" s="1"/>
  <c r="C9" i="4"/>
  <c r="C8" i="4"/>
  <c r="G37" i="4" s="1"/>
  <c r="H37" i="4" s="1"/>
  <c r="I37" i="4" s="1"/>
  <c r="J37" i="4" s="1"/>
  <c r="K37" i="4" s="1"/>
  <c r="B2" i="4"/>
  <c r="E232" i="3"/>
  <c r="E223" i="3"/>
  <c r="F205" i="3"/>
  <c r="F206" i="3" s="1"/>
  <c r="F204" i="3"/>
  <c r="G200" i="3"/>
  <c r="H199" i="3"/>
  <c r="I199" i="3" s="1"/>
  <c r="J199" i="3" s="1"/>
  <c r="F193" i="3"/>
  <c r="F186" i="3"/>
  <c r="G182" i="3" s="1"/>
  <c r="E186" i="3"/>
  <c r="F182" i="3" s="1"/>
  <c r="F185" i="3" s="1"/>
  <c r="D186" i="3"/>
  <c r="J184" i="3"/>
  <c r="I184" i="3"/>
  <c r="H184" i="3"/>
  <c r="G184" i="3"/>
  <c r="G134" i="3" s="1"/>
  <c r="F184" i="3"/>
  <c r="J183" i="3"/>
  <c r="I183" i="3"/>
  <c r="H183" i="3"/>
  <c r="G183" i="3"/>
  <c r="F183" i="3"/>
  <c r="E179" i="3"/>
  <c r="D179" i="3"/>
  <c r="B179" i="3"/>
  <c r="E178" i="3"/>
  <c r="D178" i="3"/>
  <c r="E175" i="3"/>
  <c r="D175" i="3"/>
  <c r="J173" i="3"/>
  <c r="I173" i="3"/>
  <c r="H173" i="3"/>
  <c r="G173" i="3"/>
  <c r="F173" i="3"/>
  <c r="F172" i="3"/>
  <c r="J169" i="3"/>
  <c r="I169" i="3"/>
  <c r="H169" i="3"/>
  <c r="G169" i="3"/>
  <c r="F169" i="3"/>
  <c r="E169" i="3"/>
  <c r="D169" i="3"/>
  <c r="F155" i="3"/>
  <c r="E152" i="3"/>
  <c r="D152" i="3"/>
  <c r="F150" i="3"/>
  <c r="J147" i="3"/>
  <c r="I147" i="3"/>
  <c r="H147" i="3"/>
  <c r="G147" i="3"/>
  <c r="F147" i="3"/>
  <c r="E144" i="3"/>
  <c r="F141" i="3" s="1"/>
  <c r="D144" i="3"/>
  <c r="I138" i="3"/>
  <c r="E136" i="3"/>
  <c r="D136" i="3"/>
  <c r="J134" i="3"/>
  <c r="I134" i="3"/>
  <c r="H134" i="3"/>
  <c r="F134" i="3"/>
  <c r="F132" i="3"/>
  <c r="J129" i="3"/>
  <c r="J128" i="3"/>
  <c r="G128" i="3"/>
  <c r="D126" i="3"/>
  <c r="J120" i="3"/>
  <c r="E118" i="3"/>
  <c r="D118" i="3"/>
  <c r="F116" i="3"/>
  <c r="E111" i="3"/>
  <c r="D111" i="3"/>
  <c r="F109" i="3"/>
  <c r="J106" i="3"/>
  <c r="E104" i="3"/>
  <c r="D104" i="3"/>
  <c r="F102" i="3"/>
  <c r="C99" i="3"/>
  <c r="J93" i="3"/>
  <c r="I93" i="3"/>
  <c r="H93" i="3"/>
  <c r="G93" i="3"/>
  <c r="F93" i="3"/>
  <c r="J92" i="3"/>
  <c r="I92" i="3"/>
  <c r="H92" i="3"/>
  <c r="G92" i="3"/>
  <c r="F92" i="3"/>
  <c r="J91" i="3"/>
  <c r="I91" i="3"/>
  <c r="H91" i="3"/>
  <c r="G91" i="3"/>
  <c r="F91" i="3"/>
  <c r="F90" i="3"/>
  <c r="J87" i="3"/>
  <c r="I87" i="3"/>
  <c r="H87" i="3"/>
  <c r="G87" i="3"/>
  <c r="F87" i="3"/>
  <c r="J81" i="3"/>
  <c r="K50" i="4" s="1"/>
  <c r="I81" i="3"/>
  <c r="J50" i="4" s="1"/>
  <c r="H81" i="3"/>
  <c r="I50" i="4" s="1"/>
  <c r="G81" i="3"/>
  <c r="H50" i="4" s="1"/>
  <c r="F81" i="3"/>
  <c r="G50" i="4" s="1"/>
  <c r="J79" i="3"/>
  <c r="K49" i="4" s="1"/>
  <c r="I79" i="3"/>
  <c r="J49" i="4" s="1"/>
  <c r="H79" i="3"/>
  <c r="I49" i="4" s="1"/>
  <c r="G79" i="3"/>
  <c r="F79" i="3"/>
  <c r="G49" i="4" s="1"/>
  <c r="J76" i="3"/>
  <c r="K46" i="4" s="1"/>
  <c r="I76" i="3"/>
  <c r="J46" i="4" s="1"/>
  <c r="H76" i="3"/>
  <c r="I46" i="4" s="1"/>
  <c r="G76" i="3"/>
  <c r="H46" i="4" s="1"/>
  <c r="F76" i="3"/>
  <c r="G46" i="4" s="1"/>
  <c r="C66" i="3"/>
  <c r="E64" i="3"/>
  <c r="D64" i="3"/>
  <c r="D66" i="3" s="1"/>
  <c r="D26" i="1" s="1"/>
  <c r="C64" i="3"/>
  <c r="E57" i="3"/>
  <c r="D57" i="3"/>
  <c r="C57" i="3"/>
  <c r="E49" i="3"/>
  <c r="E66" i="3" s="1"/>
  <c r="D49" i="3"/>
  <c r="F48" i="3"/>
  <c r="E46" i="3"/>
  <c r="E126" i="3" s="1"/>
  <c r="F123" i="3" s="1"/>
  <c r="D46" i="3"/>
  <c r="C46" i="3"/>
  <c r="C49" i="3" s="1"/>
  <c r="C39" i="3"/>
  <c r="E35" i="3"/>
  <c r="D35" i="3"/>
  <c r="C35" i="3"/>
  <c r="E34" i="3"/>
  <c r="D34" i="3"/>
  <c r="C34" i="3"/>
  <c r="E33" i="3"/>
  <c r="D33" i="3"/>
  <c r="E30" i="3"/>
  <c r="E29" i="3" s="1"/>
  <c r="F29" i="3" s="1"/>
  <c r="G29" i="3" s="1"/>
  <c r="H29" i="3" s="1"/>
  <c r="I29" i="3" s="1"/>
  <c r="J29" i="3" s="1"/>
  <c r="D30" i="3"/>
  <c r="C30" i="3"/>
  <c r="D29" i="3"/>
  <c r="C29" i="3"/>
  <c r="E18" i="3"/>
  <c r="E19" i="3" s="1"/>
  <c r="D18" i="3"/>
  <c r="C18" i="3"/>
  <c r="E14" i="3"/>
  <c r="E26" i="3" s="1"/>
  <c r="E11" i="3"/>
  <c r="D11" i="3"/>
  <c r="D14" i="3" s="1"/>
  <c r="C11" i="3"/>
  <c r="C14" i="3" s="1"/>
  <c r="E8" i="3"/>
  <c r="B3" i="3"/>
  <c r="B2" i="3"/>
  <c r="C61" i="2"/>
  <c r="E59" i="2"/>
  <c r="F59" i="2" s="1"/>
  <c r="F58" i="2"/>
  <c r="E58" i="2"/>
  <c r="E57" i="2"/>
  <c r="F57" i="2" s="1"/>
  <c r="F56" i="2"/>
  <c r="E56" i="2"/>
  <c r="E55" i="2"/>
  <c r="F55" i="2" s="1"/>
  <c r="F54" i="2"/>
  <c r="E54" i="2"/>
  <c r="E53" i="2"/>
  <c r="F53" i="2" s="1"/>
  <c r="G41" i="2"/>
  <c r="Y38" i="2"/>
  <c r="X38" i="2"/>
  <c r="W38" i="2"/>
  <c r="V38" i="2"/>
  <c r="U38" i="2"/>
  <c r="M38" i="2"/>
  <c r="L38" i="2"/>
  <c r="F38" i="2" s="1"/>
  <c r="I179" i="3" s="1"/>
  <c r="K38" i="2"/>
  <c r="E38" i="2" s="1"/>
  <c r="H179" i="3" s="1"/>
  <c r="J38" i="2"/>
  <c r="I38" i="2"/>
  <c r="C38" i="2" s="1"/>
  <c r="F179" i="3" s="1"/>
  <c r="G38" i="2"/>
  <c r="J179" i="3" s="1"/>
  <c r="D38" i="2"/>
  <c r="G179" i="3" s="1"/>
  <c r="Y35" i="2"/>
  <c r="X35" i="2"/>
  <c r="W35" i="2"/>
  <c r="V35" i="2"/>
  <c r="U35" i="2"/>
  <c r="M35" i="2"/>
  <c r="L35" i="2"/>
  <c r="F35" i="2" s="1"/>
  <c r="I163" i="3" s="1"/>
  <c r="K35" i="2"/>
  <c r="E35" i="2" s="1"/>
  <c r="H163" i="3" s="1"/>
  <c r="J35" i="2"/>
  <c r="D35" i="2" s="1"/>
  <c r="G163" i="3" s="1"/>
  <c r="I35" i="2"/>
  <c r="G35" i="2"/>
  <c r="J163" i="3" s="1"/>
  <c r="C35" i="2"/>
  <c r="F163" i="3" s="1"/>
  <c r="Y32" i="2"/>
  <c r="X32" i="2"/>
  <c r="W32" i="2"/>
  <c r="V32" i="2"/>
  <c r="U32" i="2"/>
  <c r="M32" i="2"/>
  <c r="G32" i="2" s="1"/>
  <c r="J160" i="3" s="1"/>
  <c r="L32" i="2"/>
  <c r="K32" i="2"/>
  <c r="J32" i="2"/>
  <c r="D32" i="2" s="1"/>
  <c r="G160" i="3" s="1"/>
  <c r="I32" i="2"/>
  <c r="C32" i="2" s="1"/>
  <c r="F160" i="3" s="1"/>
  <c r="F32" i="2"/>
  <c r="I160" i="3" s="1"/>
  <c r="E32" i="2"/>
  <c r="H160" i="3" s="1"/>
  <c r="Y29" i="2"/>
  <c r="X29" i="2"/>
  <c r="W29" i="2"/>
  <c r="V29" i="2"/>
  <c r="U29" i="2"/>
  <c r="M29" i="2"/>
  <c r="G29" i="2" s="1"/>
  <c r="J156" i="3" s="1"/>
  <c r="L29" i="2"/>
  <c r="F29" i="2" s="1"/>
  <c r="I156" i="3" s="1"/>
  <c r="K29" i="2"/>
  <c r="J29" i="2"/>
  <c r="D29" i="2" s="1"/>
  <c r="G156" i="3" s="1"/>
  <c r="I29" i="2"/>
  <c r="C29" i="2" s="1"/>
  <c r="F156" i="3" s="1"/>
  <c r="E29" i="2"/>
  <c r="H156" i="3" s="1"/>
  <c r="U28" i="2"/>
  <c r="G28" i="2"/>
  <c r="J138" i="3" s="1"/>
  <c r="F28" i="2"/>
  <c r="E28" i="2"/>
  <c r="H138" i="3" s="1"/>
  <c r="D28" i="2"/>
  <c r="G138" i="3" s="1"/>
  <c r="C28" i="2"/>
  <c r="F138" i="3" s="1"/>
  <c r="U25" i="2"/>
  <c r="S25" i="2"/>
  <c r="R25" i="2"/>
  <c r="Q25" i="2"/>
  <c r="P25" i="2"/>
  <c r="O25" i="2"/>
  <c r="G25" i="2"/>
  <c r="F25" i="2"/>
  <c r="I129" i="3" s="1"/>
  <c r="E25" i="2"/>
  <c r="H129" i="3" s="1"/>
  <c r="D25" i="2"/>
  <c r="G129" i="3" s="1"/>
  <c r="C25" i="2"/>
  <c r="F129" i="3" s="1"/>
  <c r="U24" i="2"/>
  <c r="I24" i="2"/>
  <c r="C24" i="2" s="1"/>
  <c r="F128" i="3" s="1"/>
  <c r="G24" i="2"/>
  <c r="F24" i="2"/>
  <c r="I128" i="3" s="1"/>
  <c r="E24" i="2"/>
  <c r="H128" i="3" s="1"/>
  <c r="D24" i="2"/>
  <c r="G21" i="2"/>
  <c r="F21" i="2"/>
  <c r="I120" i="3" s="1"/>
  <c r="E21" i="2"/>
  <c r="H120" i="3" s="1"/>
  <c r="D21" i="2"/>
  <c r="G120" i="3" s="1"/>
  <c r="C21" i="2"/>
  <c r="F120" i="3" s="1"/>
  <c r="G20" i="2"/>
  <c r="J113" i="3" s="1"/>
  <c r="F20" i="2"/>
  <c r="I113" i="3" s="1"/>
  <c r="E20" i="2"/>
  <c r="H113" i="3" s="1"/>
  <c r="D20" i="2"/>
  <c r="G113" i="3" s="1"/>
  <c r="C20" i="2"/>
  <c r="F113" i="3" s="1"/>
  <c r="M19" i="2"/>
  <c r="G19" i="2" s="1"/>
  <c r="L19" i="2"/>
  <c r="F19" i="2" s="1"/>
  <c r="I106" i="3" s="1"/>
  <c r="K19" i="2"/>
  <c r="J19" i="2"/>
  <c r="D19" i="2" s="1"/>
  <c r="G106" i="3" s="1"/>
  <c r="I19" i="2"/>
  <c r="C19" i="2" s="1"/>
  <c r="F106" i="3" s="1"/>
  <c r="E19" i="2"/>
  <c r="H106" i="3" s="1"/>
  <c r="Y16" i="2"/>
  <c r="X16" i="2"/>
  <c r="W16" i="2"/>
  <c r="V16" i="2"/>
  <c r="U16" i="2"/>
  <c r="M16" i="2"/>
  <c r="L16" i="2"/>
  <c r="K16" i="2"/>
  <c r="J16" i="2"/>
  <c r="I16" i="2"/>
  <c r="D16" i="2"/>
  <c r="G36" i="3" s="1"/>
  <c r="C16" i="2"/>
  <c r="F36" i="3" s="1"/>
  <c r="U15" i="2"/>
  <c r="I15" i="2"/>
  <c r="G15" i="2"/>
  <c r="J35" i="3" s="1"/>
  <c r="F15" i="2"/>
  <c r="I35" i="3" s="1"/>
  <c r="U14" i="2"/>
  <c r="I14" i="2"/>
  <c r="F14" i="2"/>
  <c r="I34" i="3" s="1"/>
  <c r="O13" i="2"/>
  <c r="G13" i="2"/>
  <c r="J33" i="3" s="1"/>
  <c r="D13" i="2"/>
  <c r="G33" i="3" s="1"/>
  <c r="V12" i="2"/>
  <c r="W12" i="2" s="1"/>
  <c r="X12" i="2" s="1"/>
  <c r="Y12" i="2" s="1"/>
  <c r="U12" i="2"/>
  <c r="P12" i="2"/>
  <c r="Q12" i="2" s="1"/>
  <c r="R12" i="2" s="1"/>
  <c r="S12" i="2" s="1"/>
  <c r="O12" i="2"/>
  <c r="I12" i="2"/>
  <c r="J12" i="2" s="1"/>
  <c r="K12" i="2" s="1"/>
  <c r="L12" i="2" s="1"/>
  <c r="M12" i="2" s="1"/>
  <c r="D12" i="2"/>
  <c r="E12" i="2" s="1"/>
  <c r="F12" i="2" s="1"/>
  <c r="G12" i="2" s="1"/>
  <c r="C12" i="2"/>
  <c r="U11" i="2"/>
  <c r="O11" i="2"/>
  <c r="I11" i="2"/>
  <c r="C11" i="2"/>
  <c r="U10" i="2"/>
  <c r="O10" i="2"/>
  <c r="I10" i="2"/>
  <c r="G16" i="2" s="1"/>
  <c r="J36" i="3" s="1"/>
  <c r="C10" i="2"/>
  <c r="B3" i="2"/>
  <c r="B3" i="4" s="1"/>
  <c r="B2" i="2"/>
  <c r="C77" i="4" l="1"/>
  <c r="C11" i="4"/>
  <c r="H58" i="4" s="1"/>
  <c r="H59" i="4" s="1"/>
  <c r="F37" i="4"/>
  <c r="F61" i="2"/>
  <c r="E36" i="3"/>
  <c r="E22" i="3"/>
  <c r="E31" i="3" s="1"/>
  <c r="E199" i="3" s="1"/>
  <c r="K39" i="4"/>
  <c r="H39" i="4"/>
  <c r="C19" i="3"/>
  <c r="C26" i="3"/>
  <c r="G39" i="4"/>
  <c r="F39" i="4" s="1"/>
  <c r="E100" i="3"/>
  <c r="D8" i="3"/>
  <c r="E168" i="3"/>
  <c r="F157" i="3"/>
  <c r="F8" i="3"/>
  <c r="D19" i="3"/>
  <c r="D26" i="3"/>
  <c r="E40" i="3"/>
  <c r="F16" i="2"/>
  <c r="I36" i="3" s="1"/>
  <c r="E15" i="2"/>
  <c r="H35" i="3" s="1"/>
  <c r="D14" i="2"/>
  <c r="G34" i="3" s="1"/>
  <c r="F13" i="2"/>
  <c r="I33" i="3" s="1"/>
  <c r="E16" i="2"/>
  <c r="H36" i="3" s="1"/>
  <c r="D15" i="2"/>
  <c r="G35" i="3" s="1"/>
  <c r="G14" i="2"/>
  <c r="J34" i="3" s="1"/>
  <c r="C14" i="2"/>
  <c r="F34" i="3" s="1"/>
  <c r="E13" i="2"/>
  <c r="H33" i="3" s="1"/>
  <c r="C13" i="2"/>
  <c r="F33" i="3" s="1"/>
  <c r="E14" i="2"/>
  <c r="H34" i="3" s="1"/>
  <c r="C15" i="2"/>
  <c r="F35" i="3" s="1"/>
  <c r="F77" i="3"/>
  <c r="G47" i="4" s="1"/>
  <c r="G48" i="3"/>
  <c r="F61" i="3"/>
  <c r="E106" i="4"/>
  <c r="E102" i="4"/>
  <c r="E99" i="4"/>
  <c r="E105" i="4"/>
  <c r="E101" i="4"/>
  <c r="E98" i="4"/>
  <c r="E103" i="4"/>
  <c r="E107" i="4"/>
  <c r="E100" i="4"/>
  <c r="G185" i="3"/>
  <c r="G90" i="3" s="1"/>
  <c r="F207" i="3"/>
  <c r="F195" i="3" s="1"/>
  <c r="J58" i="4"/>
  <c r="J59" i="4" s="1"/>
  <c r="J57" i="4"/>
  <c r="C90" i="4"/>
  <c r="E94" i="4"/>
  <c r="F58" i="4"/>
  <c r="F59" i="4" s="1"/>
  <c r="F54" i="4"/>
  <c r="F49" i="4"/>
  <c r="F47" i="4"/>
  <c r="I58" i="4"/>
  <c r="I59" i="4" s="1"/>
  <c r="F46" i="4"/>
  <c r="F50" i="4"/>
  <c r="C143" i="4"/>
  <c r="C144" i="4" s="1"/>
  <c r="F9" i="3" l="1"/>
  <c r="K57" i="4"/>
  <c r="K58" i="4"/>
  <c r="K59" i="4" s="1"/>
  <c r="E109" i="4"/>
  <c r="E110" i="4" s="1"/>
  <c r="E108" i="4"/>
  <c r="I39" i="4"/>
  <c r="J39" i="4"/>
  <c r="D36" i="3"/>
  <c r="D22" i="3"/>
  <c r="D31" i="3" s="1"/>
  <c r="D199" i="3" s="1"/>
  <c r="F200" i="3"/>
  <c r="F201" i="3" s="1"/>
  <c r="E200" i="3"/>
  <c r="D214" i="3"/>
  <c r="B218" i="3" s="1"/>
  <c r="F100" i="3"/>
  <c r="G36" i="4"/>
  <c r="F36" i="4" s="1"/>
  <c r="F168" i="3"/>
  <c r="G8" i="3"/>
  <c r="F40" i="3"/>
  <c r="F70" i="3"/>
  <c r="D168" i="3"/>
  <c r="D40" i="3"/>
  <c r="D100" i="3"/>
  <c r="C8" i="3"/>
  <c r="C22" i="3"/>
  <c r="C31" i="3" s="1"/>
  <c r="C199" i="3" s="1"/>
  <c r="C36" i="3"/>
  <c r="F208" i="3"/>
  <c r="G204" i="3" s="1"/>
  <c r="H48" i="3"/>
  <c r="G77" i="3"/>
  <c r="H47" i="4" s="1"/>
  <c r="D121" i="4"/>
  <c r="C121" i="4"/>
  <c r="G186" i="3"/>
  <c r="F124" i="3" l="1"/>
  <c r="F104" i="3"/>
  <c r="G9" i="3"/>
  <c r="G104" i="3" s="1"/>
  <c r="F13" i="3"/>
  <c r="F10" i="3"/>
  <c r="F11" i="3" s="1"/>
  <c r="E113" i="4"/>
  <c r="E115" i="4" s="1"/>
  <c r="G201" i="3"/>
  <c r="G61" i="3"/>
  <c r="H182" i="3"/>
  <c r="H77" i="3"/>
  <c r="I47" i="4" s="1"/>
  <c r="I48" i="3"/>
  <c r="G168" i="3"/>
  <c r="H36" i="4"/>
  <c r="H8" i="3"/>
  <c r="G40" i="3"/>
  <c r="G70" i="3"/>
  <c r="B226" i="3"/>
  <c r="D223" i="3" s="1"/>
  <c r="G100" i="3"/>
  <c r="G207" i="3"/>
  <c r="G195" i="3" s="1"/>
  <c r="C40" i="3"/>
  <c r="C100" i="3"/>
  <c r="D200" i="3"/>
  <c r="G124" i="3" l="1"/>
  <c r="G84" i="3" s="1"/>
  <c r="G13" i="3"/>
  <c r="G10" i="3"/>
  <c r="G11" i="3" s="1"/>
  <c r="H9" i="3"/>
  <c r="H104" i="3" s="1"/>
  <c r="F14" i="3"/>
  <c r="G38" i="4" s="1"/>
  <c r="F38" i="4" s="1"/>
  <c r="F40" i="4" s="1"/>
  <c r="F178" i="3"/>
  <c r="F25" i="3" s="1"/>
  <c r="F118" i="3"/>
  <c r="F51" i="3" s="1"/>
  <c r="F111" i="3"/>
  <c r="F44" i="3" s="1"/>
  <c r="F75" i="3" s="1"/>
  <c r="G45" i="4" s="1"/>
  <c r="F45" i="4" s="1"/>
  <c r="G102" i="3"/>
  <c r="G103" i="3" s="1"/>
  <c r="F103" i="3"/>
  <c r="F43" i="3"/>
  <c r="F74" i="3" s="1"/>
  <c r="G44" i="4" s="1"/>
  <c r="F44" i="4" s="1"/>
  <c r="F84" i="3"/>
  <c r="F125" i="3"/>
  <c r="H201" i="3"/>
  <c r="G196" i="3"/>
  <c r="G205" i="3" s="1"/>
  <c r="H185" i="3"/>
  <c r="H90" i="3" s="1"/>
  <c r="H102" i="3"/>
  <c r="G43" i="3"/>
  <c r="G116" i="3"/>
  <c r="I36" i="4"/>
  <c r="H168" i="3"/>
  <c r="H40" i="3"/>
  <c r="H100" i="3"/>
  <c r="B235" i="3"/>
  <c r="D232" i="3" s="1"/>
  <c r="H70" i="3"/>
  <c r="I8" i="3"/>
  <c r="I77" i="3"/>
  <c r="J47" i="4" s="1"/>
  <c r="J48" i="3"/>
  <c r="J77" i="3" s="1"/>
  <c r="K47" i="4" s="1"/>
  <c r="G178" i="3" l="1"/>
  <c r="G194" i="3" s="1"/>
  <c r="G125" i="3"/>
  <c r="G24" i="3" s="1"/>
  <c r="G72" i="3" s="1"/>
  <c r="H42" i="4" s="1"/>
  <c r="H10" i="3"/>
  <c r="H118" i="3" s="1"/>
  <c r="G111" i="3"/>
  <c r="H109" i="3" s="1"/>
  <c r="G14" i="3"/>
  <c r="H38" i="4" s="1"/>
  <c r="H40" i="4" s="1"/>
  <c r="H13" i="3"/>
  <c r="G118" i="3"/>
  <c r="H116" i="3" s="1"/>
  <c r="H124" i="3"/>
  <c r="H84" i="3" s="1"/>
  <c r="G40" i="4"/>
  <c r="F194" i="3"/>
  <c r="F197" i="3" s="1"/>
  <c r="G193" i="3" s="1"/>
  <c r="F174" i="3"/>
  <c r="F175" i="3" s="1"/>
  <c r="I9" i="3"/>
  <c r="I10" i="3" s="1"/>
  <c r="G109" i="3"/>
  <c r="F110" i="3"/>
  <c r="G74" i="3"/>
  <c r="H44" i="4" s="1"/>
  <c r="F117" i="3"/>
  <c r="F126" i="3"/>
  <c r="F24" i="3"/>
  <c r="F72" i="3" s="1"/>
  <c r="G42" i="4" s="1"/>
  <c r="F42" i="4" s="1"/>
  <c r="F85" i="3"/>
  <c r="G53" i="4"/>
  <c r="F53" i="4" s="1"/>
  <c r="H186" i="3"/>
  <c r="I201" i="3"/>
  <c r="H196" i="3"/>
  <c r="H205" i="3" s="1"/>
  <c r="H206" i="3" s="1"/>
  <c r="H103" i="3"/>
  <c r="I102" i="3"/>
  <c r="H43" i="3"/>
  <c r="H74" i="3" s="1"/>
  <c r="I44" i="4" s="1"/>
  <c r="I168" i="3"/>
  <c r="I70" i="3"/>
  <c r="J36" i="4"/>
  <c r="I100" i="3"/>
  <c r="I40" i="3"/>
  <c r="J8" i="3"/>
  <c r="F78" i="3"/>
  <c r="G48" i="4" s="1"/>
  <c r="F48" i="4" s="1"/>
  <c r="G174" i="3"/>
  <c r="G73" i="3" s="1"/>
  <c r="H43" i="4" s="1"/>
  <c r="G25" i="3"/>
  <c r="G26" i="3" s="1"/>
  <c r="H53" i="4"/>
  <c r="G85" i="3"/>
  <c r="G206" i="3"/>
  <c r="G208" i="3"/>
  <c r="H204" i="3" s="1"/>
  <c r="G44" i="3" l="1"/>
  <c r="G75" i="3" s="1"/>
  <c r="H45" i="4" s="1"/>
  <c r="H125" i="3"/>
  <c r="H24" i="3" s="1"/>
  <c r="H72" i="3" s="1"/>
  <c r="I42" i="4" s="1"/>
  <c r="G110" i="3"/>
  <c r="G117" i="3"/>
  <c r="G51" i="3"/>
  <c r="H178" i="3"/>
  <c r="H25" i="3" s="1"/>
  <c r="H111" i="3"/>
  <c r="H44" i="3" s="1"/>
  <c r="H75" i="3" s="1"/>
  <c r="I45" i="4" s="1"/>
  <c r="F73" i="3"/>
  <c r="G43" i="4" s="1"/>
  <c r="G51" i="4" s="1"/>
  <c r="G56" i="4" s="1"/>
  <c r="G61" i="4" s="1"/>
  <c r="H11" i="3"/>
  <c r="H14" i="3" s="1"/>
  <c r="I38" i="4" s="1"/>
  <c r="I40" i="4" s="1"/>
  <c r="F28" i="3"/>
  <c r="F30" i="3" s="1"/>
  <c r="I104" i="3"/>
  <c r="I43" i="3" s="1"/>
  <c r="I74" i="3" s="1"/>
  <c r="J44" i="4" s="1"/>
  <c r="J9" i="3"/>
  <c r="J104" i="3" s="1"/>
  <c r="I13" i="3"/>
  <c r="I124" i="3"/>
  <c r="I84" i="3" s="1"/>
  <c r="F51" i="4"/>
  <c r="F56" i="4" s="1"/>
  <c r="F61" i="4" s="1"/>
  <c r="F26" i="3"/>
  <c r="G123" i="3"/>
  <c r="G126" i="3" s="1"/>
  <c r="F46" i="3"/>
  <c r="J201" i="3"/>
  <c r="I196" i="3"/>
  <c r="I205" i="3" s="1"/>
  <c r="I206" i="3" s="1"/>
  <c r="G78" i="3"/>
  <c r="H48" i="4" s="1"/>
  <c r="H51" i="4" s="1"/>
  <c r="H56" i="4" s="1"/>
  <c r="H61" i="4" s="1"/>
  <c r="H117" i="3"/>
  <c r="I116" i="3"/>
  <c r="H51" i="3"/>
  <c r="J100" i="3"/>
  <c r="K36" i="4"/>
  <c r="J168" i="3"/>
  <c r="J70" i="3"/>
  <c r="J40" i="3"/>
  <c r="G197" i="3"/>
  <c r="H193" i="3" s="1"/>
  <c r="I182" i="3"/>
  <c r="H61" i="3"/>
  <c r="I178" i="3"/>
  <c r="I194" i="3" s="1"/>
  <c r="I111" i="3"/>
  <c r="I118" i="3"/>
  <c r="I53" i="4"/>
  <c r="H85" i="3"/>
  <c r="G172" i="3"/>
  <c r="G175" i="3" s="1"/>
  <c r="F59" i="3"/>
  <c r="I11" i="3"/>
  <c r="H207" i="3"/>
  <c r="H195" i="3" s="1"/>
  <c r="H174" i="3"/>
  <c r="H73" i="3" s="1"/>
  <c r="I43" i="4" s="1"/>
  <c r="H194" i="3" l="1"/>
  <c r="I14" i="3"/>
  <c r="J38" i="4" s="1"/>
  <c r="J40" i="4" s="1"/>
  <c r="H110" i="3"/>
  <c r="I109" i="3"/>
  <c r="I110" i="3" s="1"/>
  <c r="H26" i="3"/>
  <c r="J13" i="3"/>
  <c r="J10" i="3"/>
  <c r="J11" i="3" s="1"/>
  <c r="J124" i="3"/>
  <c r="J84" i="3" s="1"/>
  <c r="J102" i="3"/>
  <c r="J103" i="3" s="1"/>
  <c r="I103" i="3"/>
  <c r="I125" i="3"/>
  <c r="I24" i="3" s="1"/>
  <c r="I72" i="3" s="1"/>
  <c r="J42" i="4" s="1"/>
  <c r="G46" i="3"/>
  <c r="H123" i="3"/>
  <c r="H126" i="3" s="1"/>
  <c r="I123" i="3" s="1"/>
  <c r="J43" i="3"/>
  <c r="J74" i="3" s="1"/>
  <c r="K44" i="4" s="1"/>
  <c r="H208" i="3"/>
  <c r="I204" i="3" s="1"/>
  <c r="I117" i="3"/>
  <c r="J116" i="3"/>
  <c r="I51" i="3"/>
  <c r="I185" i="3"/>
  <c r="I90" i="3" s="1"/>
  <c r="H78" i="3"/>
  <c r="I48" i="4" s="1"/>
  <c r="I51" i="4" s="1"/>
  <c r="I56" i="4" s="1"/>
  <c r="I61" i="4" s="1"/>
  <c r="I44" i="3"/>
  <c r="I75" i="3" s="1"/>
  <c r="J45" i="4" s="1"/>
  <c r="J109" i="3"/>
  <c r="G28" i="3"/>
  <c r="G30" i="3" s="1"/>
  <c r="J53" i="4"/>
  <c r="I85" i="3"/>
  <c r="J196" i="3"/>
  <c r="J205" i="3" s="1"/>
  <c r="J206" i="3" s="1"/>
  <c r="J118" i="3"/>
  <c r="G59" i="3"/>
  <c r="H172" i="3"/>
  <c r="H175" i="3" s="1"/>
  <c r="I174" i="3"/>
  <c r="I73" i="3" s="1"/>
  <c r="J43" i="4" s="1"/>
  <c r="I25" i="3"/>
  <c r="H197" i="3"/>
  <c r="I193" i="3" s="1"/>
  <c r="J125" i="3" l="1"/>
  <c r="J24" i="3" s="1"/>
  <c r="J72" i="3" s="1"/>
  <c r="K42" i="4" s="1"/>
  <c r="J111" i="3"/>
  <c r="J44" i="3" s="1"/>
  <c r="J75" i="3" s="1"/>
  <c r="K45" i="4" s="1"/>
  <c r="J178" i="3"/>
  <c r="J194" i="3" s="1"/>
  <c r="J14" i="3"/>
  <c r="K38" i="4" s="1"/>
  <c r="K40" i="4" s="1"/>
  <c r="I26" i="3"/>
  <c r="I126" i="3"/>
  <c r="I46" i="3" s="1"/>
  <c r="H46" i="3"/>
  <c r="H28" i="3"/>
  <c r="H30" i="3" s="1"/>
  <c r="I172" i="3"/>
  <c r="I175" i="3" s="1"/>
  <c r="H59" i="3"/>
  <c r="J110" i="3"/>
  <c r="I186" i="3"/>
  <c r="I207" i="3"/>
  <c r="I195" i="3" s="1"/>
  <c r="I208" i="3"/>
  <c r="J204" i="3" s="1"/>
  <c r="K53" i="4"/>
  <c r="J85" i="3"/>
  <c r="J51" i="3"/>
  <c r="J117" i="3"/>
  <c r="I78" i="3"/>
  <c r="J48" i="4" s="1"/>
  <c r="J51" i="4" s="1"/>
  <c r="J56" i="4" s="1"/>
  <c r="J61" i="4" s="1"/>
  <c r="I197" i="3"/>
  <c r="J193" i="3" s="1"/>
  <c r="J174" i="3" l="1"/>
  <c r="J73" i="3" s="1"/>
  <c r="K43" i="4" s="1"/>
  <c r="J25" i="3"/>
  <c r="J26" i="3" s="1"/>
  <c r="C14" i="4" s="1"/>
  <c r="C76" i="4" s="1"/>
  <c r="C78" i="4" s="1"/>
  <c r="C79" i="4" s="1"/>
  <c r="J123" i="3"/>
  <c r="J126" i="3" s="1"/>
  <c r="J46" i="3" s="1"/>
  <c r="J197" i="3"/>
  <c r="J28" i="3" s="1"/>
  <c r="J30" i="3" s="1"/>
  <c r="J207" i="3"/>
  <c r="J195" i="3" s="1"/>
  <c r="J208" i="3"/>
  <c r="J78" i="3"/>
  <c r="K48" i="4" s="1"/>
  <c r="J182" i="3"/>
  <c r="I61" i="3"/>
  <c r="J172" i="3"/>
  <c r="J175" i="3" s="1"/>
  <c r="J59" i="3" s="1"/>
  <c r="I59" i="3"/>
  <c r="I28" i="3"/>
  <c r="I30" i="3" s="1"/>
  <c r="K51" i="4" l="1"/>
  <c r="K56" i="4" s="1"/>
  <c r="K61" i="4" s="1"/>
  <c r="J185" i="3"/>
  <c r="J90" i="3" s="1"/>
  <c r="J186" i="3"/>
  <c r="J61" i="3" s="1"/>
  <c r="C66" i="4" l="1"/>
  <c r="C67" i="4" s="1"/>
  <c r="C69" i="4" s="1"/>
  <c r="C72" i="4"/>
  <c r="C80" i="4"/>
  <c r="C81" i="4" s="1"/>
  <c r="D120" i="4" s="1"/>
  <c r="D125" i="4" s="1"/>
  <c r="D126" i="4" s="1"/>
  <c r="C71" i="4"/>
  <c r="C70" i="4"/>
  <c r="C73" i="4" l="1"/>
  <c r="C120" i="4" s="1"/>
  <c r="C125" i="4" s="1"/>
  <c r="C126" i="4" s="1"/>
  <c r="C127" i="4" s="1"/>
  <c r="G127" i="4"/>
  <c r="D127" i="4"/>
  <c r="G120" i="4" l="1"/>
  <c r="F16" i="3"/>
  <c r="G16" i="3"/>
  <c r="H16" i="3"/>
  <c r="I16" i="3"/>
  <c r="J16" i="3"/>
  <c r="F17" i="3"/>
  <c r="G17" i="3"/>
  <c r="H17" i="3"/>
  <c r="I17" i="3"/>
  <c r="J17" i="3"/>
  <c r="F19" i="3"/>
  <c r="G19" i="3"/>
  <c r="H19" i="3"/>
  <c r="I19" i="3"/>
  <c r="J19" i="3"/>
  <c r="F21" i="3"/>
  <c r="G21" i="3"/>
  <c r="H21" i="3"/>
  <c r="I21" i="3"/>
  <c r="J21" i="3"/>
  <c r="F22" i="3"/>
  <c r="G22" i="3"/>
  <c r="H22" i="3"/>
  <c r="I22" i="3"/>
  <c r="J22" i="3"/>
  <c r="F31" i="3"/>
  <c r="G31" i="3"/>
  <c r="H31" i="3"/>
  <c r="I31" i="3"/>
  <c r="J31" i="3"/>
  <c r="F41" i="3"/>
  <c r="G41" i="3"/>
  <c r="H41" i="3"/>
  <c r="I41" i="3"/>
  <c r="J41" i="3"/>
  <c r="F49" i="3"/>
  <c r="G49" i="3"/>
  <c r="H49" i="3"/>
  <c r="I49" i="3"/>
  <c r="J49" i="3"/>
  <c r="F53" i="3"/>
  <c r="G53" i="3"/>
  <c r="H53" i="3"/>
  <c r="I53" i="3"/>
  <c r="J53" i="3"/>
  <c r="F56" i="3"/>
  <c r="G56" i="3"/>
  <c r="H56" i="3"/>
  <c r="I56" i="3"/>
  <c r="J56" i="3"/>
  <c r="F57" i="3"/>
  <c r="G57" i="3"/>
  <c r="H57" i="3"/>
  <c r="I57" i="3"/>
  <c r="J57" i="3"/>
  <c r="F62" i="3"/>
  <c r="G62" i="3"/>
  <c r="H62" i="3"/>
  <c r="I62" i="3"/>
  <c r="J62" i="3"/>
  <c r="F64" i="3"/>
  <c r="G64" i="3"/>
  <c r="H64" i="3"/>
  <c r="I64" i="3"/>
  <c r="J64" i="3"/>
  <c r="F66" i="3"/>
  <c r="G66" i="3"/>
  <c r="H66" i="3"/>
  <c r="I66" i="3"/>
  <c r="J66" i="3"/>
  <c r="F71" i="3"/>
  <c r="G71" i="3"/>
  <c r="H71" i="3"/>
  <c r="I71" i="3"/>
  <c r="J71" i="3"/>
  <c r="F80" i="3"/>
  <c r="G80" i="3"/>
  <c r="H80" i="3"/>
  <c r="I80" i="3"/>
  <c r="J80" i="3"/>
  <c r="F82" i="3"/>
  <c r="G82" i="3"/>
  <c r="H82" i="3"/>
  <c r="I82" i="3"/>
  <c r="J82" i="3"/>
  <c r="F88" i="3"/>
  <c r="G88" i="3"/>
  <c r="H88" i="3"/>
  <c r="I88" i="3"/>
  <c r="J88" i="3"/>
  <c r="F89" i="3"/>
  <c r="G89" i="3"/>
  <c r="H89" i="3"/>
  <c r="I89" i="3"/>
  <c r="J89" i="3"/>
  <c r="F94" i="3"/>
  <c r="G94" i="3"/>
  <c r="H94" i="3"/>
  <c r="I94" i="3"/>
  <c r="J94" i="3"/>
  <c r="F96" i="3"/>
  <c r="G96" i="3"/>
  <c r="H96" i="3"/>
  <c r="I96" i="3"/>
  <c r="J96" i="3"/>
  <c r="G132" i="3"/>
  <c r="H132" i="3"/>
  <c r="I132" i="3"/>
  <c r="J132" i="3"/>
  <c r="F133" i="3"/>
  <c r="G133" i="3"/>
  <c r="H133" i="3"/>
  <c r="I133" i="3"/>
  <c r="J133" i="3"/>
  <c r="F135" i="3"/>
  <c r="G135" i="3"/>
  <c r="H135" i="3"/>
  <c r="I135" i="3"/>
  <c r="J135" i="3"/>
  <c r="F136" i="3"/>
  <c r="G136" i="3"/>
  <c r="H136" i="3"/>
  <c r="I136" i="3"/>
  <c r="J136" i="3"/>
  <c r="G141" i="3"/>
  <c r="H141" i="3"/>
  <c r="I141" i="3"/>
  <c r="J141" i="3"/>
  <c r="F143" i="3"/>
  <c r="G143" i="3"/>
  <c r="H143" i="3"/>
  <c r="I143" i="3"/>
  <c r="J143" i="3"/>
  <c r="F144" i="3"/>
  <c r="G144" i="3"/>
  <c r="H144" i="3"/>
  <c r="I144" i="3"/>
  <c r="J144" i="3"/>
  <c r="G150" i="3"/>
  <c r="H150" i="3"/>
  <c r="I150" i="3"/>
  <c r="J150" i="3"/>
  <c r="F151" i="3"/>
  <c r="G151" i="3"/>
  <c r="H151" i="3"/>
  <c r="I151" i="3"/>
  <c r="J151" i="3"/>
  <c r="F152" i="3"/>
  <c r="G152" i="3"/>
  <c r="H152" i="3"/>
  <c r="I152" i="3"/>
  <c r="J152" i="3"/>
  <c r="G155" i="3"/>
  <c r="H155" i="3"/>
  <c r="I155" i="3"/>
  <c r="J155" i="3"/>
  <c r="G157" i="3"/>
  <c r="H157" i="3"/>
  <c r="I157" i="3"/>
  <c r="J157" i="3"/>
  <c r="F158" i="3"/>
  <c r="G158" i="3"/>
  <c r="H158" i="3"/>
  <c r="I158" i="3"/>
  <c r="J158" i="3"/>
  <c r="F161" i="3"/>
  <c r="G161" i="3"/>
  <c r="H161" i="3"/>
  <c r="I161" i="3"/>
  <c r="J161" i="3"/>
  <c r="F164" i="3"/>
  <c r="G164" i="3"/>
  <c r="H164" i="3"/>
  <c r="I164" i="3"/>
  <c r="J164" i="3"/>
  <c r="C215" i="3"/>
  <c r="C224" i="3"/>
  <c r="C233" i="3"/>
</calcChain>
</file>

<file path=xl/comments1.xml><?xml version="1.0" encoding="utf-8"?>
<comments xmlns="http://schemas.openxmlformats.org/spreadsheetml/2006/main">
  <authors>
    <author>Oscar Galindo</author>
  </authors>
  <commentList>
    <comment ref="I13" authorId="0">
      <text>
        <r>
          <rPr>
            <b/>
            <sz val="9"/>
            <color indexed="81"/>
            <rFont val="Tahoma"/>
            <family val="2"/>
          </rPr>
          <t>Oscar Galindo:</t>
        </r>
        <r>
          <rPr>
            <sz val="9"/>
            <color indexed="81"/>
            <rFont val="Tahoma"/>
            <family val="2"/>
          </rPr>
          <t xml:space="preserve">
This scenario assumes RET is capable to bring better fashionable offer in 2016 4Q.</t>
        </r>
      </text>
    </comment>
    <comment ref="K13" authorId="0">
      <text>
        <r>
          <rPr>
            <b/>
            <sz val="9"/>
            <color indexed="81"/>
            <rFont val="Tahoma"/>
            <family val="2"/>
          </rPr>
          <t>Oscar Galindo:</t>
        </r>
        <r>
          <rPr>
            <sz val="9"/>
            <color indexed="81"/>
            <rFont val="Tahoma"/>
            <family val="2"/>
          </rPr>
          <t xml:space="preserve">
-More fashionable Banners like Additione elle and RW&amp;Co takes the leadership in organic growth. Proportion in number of stores makes the growth slow.
-Increase in consumer speding allows capture better quality revenues on Reitmans banner</t>
        </r>
      </text>
    </comment>
    <comment ref="O13" authorId="0">
      <text>
        <r>
          <rPr>
            <b/>
            <sz val="9"/>
            <color indexed="81"/>
            <rFont val="Tahoma"/>
            <family val="2"/>
          </rPr>
          <t>Oscar Galindo:</t>
        </r>
        <r>
          <rPr>
            <sz val="9"/>
            <color indexed="81"/>
            <rFont val="Tahoma"/>
            <family val="2"/>
          </rPr>
          <t xml:space="preserve">
-Extrapolation of current performance. Organic 1%</t>
        </r>
      </text>
    </comment>
    <comment ref="P13" authorId="0">
      <text>
        <r>
          <rPr>
            <b/>
            <sz val="9"/>
            <color indexed="81"/>
            <rFont val="Tahoma"/>
            <family val="2"/>
          </rPr>
          <t>Oscar Galindo:</t>
        </r>
        <r>
          <rPr>
            <sz val="9"/>
            <color indexed="81"/>
            <rFont val="Tahoma"/>
            <family val="2"/>
          </rPr>
          <t xml:space="preserve">
The gross portion of the  Conversion/Closing Smarset stores process is here. Continuing sales drop</t>
        </r>
      </text>
    </comment>
    <comment ref="Q13" authorId="0">
      <text>
        <r>
          <rPr>
            <b/>
            <sz val="9"/>
            <color indexed="81"/>
            <rFont val="Tahoma"/>
            <family val="2"/>
          </rPr>
          <t>Oscar Galindo:</t>
        </r>
        <r>
          <rPr>
            <sz val="9"/>
            <color indexed="81"/>
            <rFont val="Tahoma"/>
            <family val="2"/>
          </rPr>
          <t xml:space="preserve">
Start of modest positive outlook after total SmartSet stores Closing / transformation</t>
        </r>
      </text>
    </comment>
    <comment ref="U13" authorId="0">
      <text>
        <r>
          <rPr>
            <b/>
            <sz val="9"/>
            <color indexed="81"/>
            <rFont val="Tahoma"/>
            <family val="2"/>
          </rPr>
          <t>Oscar Galindo:</t>
        </r>
        <r>
          <rPr>
            <sz val="9"/>
            <color indexed="81"/>
            <rFont val="Tahoma"/>
            <family val="2"/>
          </rPr>
          <t xml:space="preserve">
In this scenario RET fails  to bring an attractive product offering and Fierce competition increases as expected.
-Reduction in number of stores is assumed</t>
        </r>
      </text>
    </comment>
    <comment ref="J14" authorId="0">
      <text>
        <r>
          <rPr>
            <b/>
            <sz val="9"/>
            <color indexed="81"/>
            <rFont val="Tahoma"/>
            <family val="2"/>
          </rPr>
          <t>Oscar Galindo:</t>
        </r>
        <r>
          <rPr>
            <sz val="9"/>
            <color indexed="81"/>
            <rFont val="Tahoma"/>
            <family val="2"/>
          </rPr>
          <t xml:space="preserve">
Two positive effects are introduced:
1. CAD stabilize faster against the US
2. The Global Source innitiative (Hong Kong office) produces significant improvements as Mgmt expects.</t>
        </r>
      </text>
    </comment>
    <comment ref="O14" authorId="0">
      <text>
        <r>
          <rPr>
            <b/>
            <sz val="9"/>
            <color indexed="81"/>
            <rFont val="Tahoma"/>
            <family val="2"/>
          </rPr>
          <t>Oscar Galindo:</t>
        </r>
        <r>
          <rPr>
            <sz val="9"/>
            <color indexed="81"/>
            <rFont val="Tahoma"/>
            <family val="2"/>
          </rPr>
          <t xml:space="preserve">
-Impact of CAD devaluation plus inventory writedowns</t>
        </r>
      </text>
    </comment>
    <comment ref="P14" authorId="0">
      <text>
        <r>
          <rPr>
            <b/>
            <sz val="9"/>
            <color indexed="81"/>
            <rFont val="Tahoma"/>
            <family val="2"/>
          </rPr>
          <t>Oscar Galindo:</t>
        </r>
        <r>
          <rPr>
            <sz val="9"/>
            <color indexed="81"/>
            <rFont val="Tahoma"/>
            <family val="2"/>
          </rPr>
          <t xml:space="preserve">
Consensus forecast on the CAD against US $ doesn't allow to much room for improvements</t>
        </r>
      </text>
    </comment>
    <comment ref="R14" authorId="0">
      <text>
        <r>
          <rPr>
            <b/>
            <sz val="9"/>
            <color indexed="81"/>
            <rFont val="Tahoma"/>
            <family val="2"/>
          </rPr>
          <t>Oscar Galindo:</t>
        </r>
        <r>
          <rPr>
            <sz val="9"/>
            <color indexed="81"/>
            <rFont val="Tahoma"/>
            <family val="2"/>
          </rPr>
          <t xml:space="preserve">
-Better sourcing opportinities could have been achieved at this point
-CAD stabilization may bring direct positive impact in COGS</t>
        </r>
      </text>
    </comment>
    <comment ref="U14" authorId="0">
      <text>
        <r>
          <rPr>
            <b/>
            <sz val="9"/>
            <color indexed="81"/>
            <rFont val="Tahoma"/>
            <family val="2"/>
          </rPr>
          <t>Oscar Galindo:</t>
        </r>
        <r>
          <rPr>
            <sz val="9"/>
            <color indexed="81"/>
            <rFont val="Tahoma"/>
            <family val="2"/>
          </rPr>
          <t xml:space="preserve">
Effects:
1.Since China is out of TPP deal, Hong Kong office produces poorly results in COGS
2. Canadian Dollar fails o recover in the near term</t>
        </r>
      </text>
    </comment>
    <comment ref="J15" authorId="0">
      <text>
        <r>
          <rPr>
            <b/>
            <sz val="9"/>
            <color indexed="81"/>
            <rFont val="Tahoma"/>
            <family val="2"/>
          </rPr>
          <t>Oscar Galindo:</t>
        </r>
        <r>
          <rPr>
            <sz val="9"/>
            <color indexed="81"/>
            <rFont val="Tahoma"/>
            <family val="2"/>
          </rPr>
          <t xml:space="preserve">
-Only when "SCORE" innitiative is completed 
 we award improvements in Opex. No delays assumed.
</t>
        </r>
      </text>
    </comment>
    <comment ref="O15" authorId="0">
      <text>
        <r>
          <rPr>
            <b/>
            <sz val="9"/>
            <color indexed="81"/>
            <rFont val="Tahoma"/>
            <family val="2"/>
          </rPr>
          <t>Oscar Galindo:</t>
        </r>
        <r>
          <rPr>
            <sz val="9"/>
            <color indexed="81"/>
            <rFont val="Tahoma"/>
            <family val="2"/>
          </rPr>
          <t xml:space="preserve">
-Improvement due to Cost Reduction programs. Company's capability confirmed by hisotrical data.
-Although is not operationally efficent as in the past, the sligth increase in sales push up inmmideatly Opex performance due to increase in volume</t>
        </r>
      </text>
    </comment>
    <comment ref="P15" authorId="0">
      <text>
        <r>
          <rPr>
            <b/>
            <sz val="9"/>
            <color indexed="81"/>
            <rFont val="Tahoma"/>
            <family val="2"/>
          </rPr>
          <t>Oscar Galindo:</t>
        </r>
        <r>
          <rPr>
            <sz val="9"/>
            <color indexed="81"/>
            <rFont val="Tahoma"/>
            <family val="2"/>
          </rPr>
          <t xml:space="preserve">
-Further improvement in cost reduction (Smarset related) allows RET to keep Opex perf.
-We don't award any further improvement since "SCORE" innitiaitve is still in execution phase with and with a new CIO appointed. The general  landscape posses several constraints to succes. Wait and see.
-Previous failures in logistics (warehouse systems in 2013) were considered here.</t>
        </r>
      </text>
    </comment>
    <comment ref="Q15" authorId="0">
      <text>
        <r>
          <rPr>
            <b/>
            <sz val="9"/>
            <color indexed="81"/>
            <rFont val="Tahoma"/>
            <family val="2"/>
          </rPr>
          <t>Oscar Galindo:</t>
        </r>
        <r>
          <rPr>
            <sz val="9"/>
            <color indexed="81"/>
            <rFont val="Tahoma"/>
            <family val="2"/>
          </rPr>
          <t xml:space="preserve">
-We forecasted a material decreased in Opex only when Smarset restr. Is completed.
- The improvements due to "SCORE" innitaitve are minor in this scenario. Wait and See.</t>
        </r>
      </text>
    </comment>
    <comment ref="V15" authorId="0">
      <text>
        <r>
          <rPr>
            <b/>
            <sz val="9"/>
            <color indexed="81"/>
            <rFont val="Tahoma"/>
            <family val="2"/>
          </rPr>
          <t>Oscar Galindo:</t>
        </r>
        <r>
          <rPr>
            <sz val="9"/>
            <color indexed="81"/>
            <rFont val="Tahoma"/>
            <family val="2"/>
          </rPr>
          <t xml:space="preserve">
Effects: 
1. Decerase in sales volume increase Opex.
2. "SCORE" innitiative fails to deliver improvements in supply chain integration. This is not that unlikely due to the poorly rate of succes of this kind of IT porjects and since RET new CIO reccords with SEARS are not supper impressive.</t>
        </r>
      </text>
    </comment>
    <comment ref="O16" authorId="0">
      <text>
        <r>
          <rPr>
            <b/>
            <sz val="9"/>
            <color indexed="81"/>
            <rFont val="Tahoma"/>
            <family val="2"/>
          </rPr>
          <t>Oscar Galindo:</t>
        </r>
        <r>
          <rPr>
            <sz val="9"/>
            <color indexed="81"/>
            <rFont val="Tahoma"/>
            <family val="2"/>
          </rPr>
          <t xml:space="preserve">
Management Guidance
</t>
        </r>
      </text>
    </comment>
    <comment ref="O19" authorId="0">
      <text>
        <r>
          <rPr>
            <b/>
            <sz val="9"/>
            <color indexed="81"/>
            <rFont val="Tahoma"/>
            <family val="2"/>
          </rPr>
          <t>Oscar Galindo:</t>
        </r>
        <r>
          <rPr>
            <sz val="9"/>
            <color indexed="81"/>
            <rFont val="Tahoma"/>
            <family val="2"/>
          </rPr>
          <t xml:space="preserve">
-3 DSO approx.
-Since this is one of RET strenghts we consider it'll be held.</t>
        </r>
      </text>
    </comment>
    <comment ref="I20" authorId="0">
      <text>
        <r>
          <rPr>
            <b/>
            <sz val="9"/>
            <color indexed="81"/>
            <rFont val="Tahoma"/>
            <family val="2"/>
          </rPr>
          <t>Oscar Galindo:</t>
        </r>
        <r>
          <rPr>
            <sz val="9"/>
            <color indexed="81"/>
            <rFont val="Tahoma"/>
            <family val="2"/>
          </rPr>
          <t xml:space="preserve">
-Assumed a good product offering in 2016 4Q reduces inv. To 110 aprox</t>
        </r>
      </text>
    </comment>
    <comment ref="M20" authorId="0">
      <text>
        <r>
          <rPr>
            <b/>
            <sz val="9"/>
            <color indexed="81"/>
            <rFont val="Tahoma"/>
            <family val="2"/>
          </rPr>
          <t>Oscar Galindo:</t>
        </r>
        <r>
          <rPr>
            <sz val="9"/>
            <color indexed="81"/>
            <rFont val="Tahoma"/>
            <family val="2"/>
          </rPr>
          <t xml:space="preserve">
-Benfits of the SCORE innitiative and the Global Source office allows Inv. Returning  to approx. 75 Days of Inv.</t>
        </r>
      </text>
    </comment>
    <comment ref="O20" authorId="0">
      <text>
        <r>
          <rPr>
            <b/>
            <sz val="9"/>
            <color indexed="81"/>
            <rFont val="Tahoma"/>
            <family val="2"/>
          </rPr>
          <t>Oscar Galindo:</t>
        </r>
        <r>
          <rPr>
            <sz val="9"/>
            <color indexed="81"/>
            <rFont val="Tahoma"/>
            <family val="2"/>
          </rPr>
          <t xml:space="preserve">
-120 Days of COGS approx.
-Trend continues until finish Smart Set restructuration</t>
        </r>
      </text>
    </comment>
    <comment ref="Q20" authorId="0">
      <text>
        <r>
          <rPr>
            <b/>
            <sz val="9"/>
            <color indexed="81"/>
            <rFont val="Tahoma"/>
            <family val="2"/>
          </rPr>
          <t>Oscar Galindo:</t>
        </r>
        <r>
          <rPr>
            <sz val="9"/>
            <color indexed="81"/>
            <rFont val="Tahoma"/>
            <family val="2"/>
          </rPr>
          <t xml:space="preserve">
-110 Days of COGS apporx.
-Only after Smartset Restructuration isachieved inventories will start comming back to historical Levels arround 100 Days
-Wait and See approach with Global sourcing Unit and "SCORE" inittiatives. Improvements on Global Sourcing innitiatives inlcuded only in COGS not in Inv forecast</t>
        </r>
      </text>
    </comment>
    <comment ref="V20" authorId="0">
      <text>
        <r>
          <rPr>
            <b/>
            <sz val="9"/>
            <color indexed="81"/>
            <rFont val="Tahoma"/>
            <family val="2"/>
          </rPr>
          <t>Oscar Galindo:</t>
        </r>
        <r>
          <rPr>
            <sz val="9"/>
            <color indexed="81"/>
            <rFont val="Tahoma"/>
            <family val="2"/>
          </rPr>
          <t xml:space="preserve">
1.Again failures in SCORE innitiative brings also increases in Inventory.
2. Failure in attractive product offering also increase the Inv. expectations</t>
        </r>
      </text>
    </comment>
    <comment ref="O21" authorId="0">
      <text>
        <r>
          <rPr>
            <b/>
            <sz val="9"/>
            <color indexed="81"/>
            <rFont val="Tahoma"/>
            <family val="2"/>
          </rPr>
          <t>Oscar Galindo:</t>
        </r>
        <r>
          <rPr>
            <sz val="9"/>
            <color indexed="81"/>
            <rFont val="Tahoma"/>
            <family val="2"/>
          </rPr>
          <t xml:space="preserve">
HIstorical</t>
        </r>
      </text>
    </comment>
    <comment ref="O24" authorId="0">
      <text>
        <r>
          <rPr>
            <b/>
            <sz val="9"/>
            <color indexed="81"/>
            <rFont val="Tahoma"/>
            <family val="2"/>
          </rPr>
          <t>Oscar Galindo:</t>
        </r>
        <r>
          <rPr>
            <sz val="9"/>
            <color indexed="81"/>
            <rFont val="Tahoma"/>
            <family val="2"/>
          </rPr>
          <t xml:space="preserve">
-After 2015 reduction we extrapolate current data on capex. We also compared it with Mgmt target of 4%
-Note that arround 23% correspond to "SCORE" innitaitive (intangibles).
</t>
        </r>
      </text>
    </comment>
    <comment ref="U24" authorId="0">
      <text>
        <r>
          <rPr>
            <b/>
            <sz val="9"/>
            <color indexed="81"/>
            <rFont val="Tahoma"/>
            <family val="2"/>
          </rPr>
          <t>Oscar Galindo:</t>
        </r>
        <r>
          <rPr>
            <sz val="9"/>
            <color indexed="81"/>
            <rFont val="Tahoma"/>
            <family val="2"/>
          </rPr>
          <t xml:space="preserve">
Reduction in Sales and Failures in Opex would probably produce a reduction in Capex target</t>
        </r>
      </text>
    </comment>
    <comment ref="I25" authorId="0">
      <text>
        <r>
          <rPr>
            <b/>
            <sz val="9"/>
            <color indexed="81"/>
            <rFont val="Tahoma"/>
            <family val="2"/>
          </rPr>
          <t>Oscar Galindo:</t>
        </r>
        <r>
          <rPr>
            <sz val="9"/>
            <color indexed="81"/>
            <rFont val="Tahoma"/>
            <family val="2"/>
          </rPr>
          <t xml:space="preserve">
Better than expected 2016 4Q decreases the depreciation of some CASH Producing Units that were strongly depreciated after 2015 apparaisal</t>
        </r>
      </text>
    </comment>
    <comment ref="J25" authorId="0">
      <text>
        <r>
          <rPr>
            <b/>
            <sz val="9"/>
            <color indexed="81"/>
            <rFont val="Tahoma"/>
            <family val="2"/>
          </rPr>
          <t>Oscar Galindo:</t>
        </r>
        <r>
          <rPr>
            <sz val="9"/>
            <color indexed="81"/>
            <rFont val="Tahoma"/>
            <family val="2"/>
          </rPr>
          <t xml:space="preserve">
Internal Assumption: Management seized growth opportunities and new capex investments offset better the Fixed assets dep.</t>
        </r>
      </text>
    </comment>
    <comment ref="O25" authorId="0">
      <text>
        <r>
          <rPr>
            <b/>
            <sz val="9"/>
            <color indexed="81"/>
            <rFont val="Tahoma"/>
            <family val="2"/>
          </rPr>
          <t>Oscar Galindo:</t>
        </r>
        <r>
          <rPr>
            <sz val="9"/>
            <color indexed="81"/>
            <rFont val="Tahoma"/>
            <family val="2"/>
          </rPr>
          <t xml:space="preserve">
-Based on Current pErformance
- Mgmnt doesn' give guidance of future Capex higher than actual that could help outpace Dep. This may signal non agresive store footage expansion or small growth expectations in the forecasted period</t>
        </r>
      </text>
    </comment>
    <comment ref="I28" authorId="0">
      <text>
        <r>
          <rPr>
            <b/>
            <sz val="9"/>
            <color indexed="81"/>
            <rFont val="Tahoma"/>
            <family val="2"/>
          </rPr>
          <t>Oscar Galindo:</t>
        </r>
        <r>
          <rPr>
            <sz val="9"/>
            <color indexed="81"/>
            <rFont val="Tahoma"/>
            <family val="2"/>
          </rPr>
          <t xml:space="preserve">
Perspectives on new Capex probably brings reduction in Div during the forecasted period.</t>
        </r>
      </text>
    </comment>
    <comment ref="O28" authorId="0">
      <text>
        <r>
          <rPr>
            <b/>
            <sz val="9"/>
            <color indexed="81"/>
            <rFont val="Tahoma"/>
            <family val="2"/>
          </rPr>
          <t>Oscar Galindo:</t>
        </r>
        <r>
          <rPr>
            <sz val="9"/>
            <color indexed="81"/>
            <rFont val="Tahoma"/>
            <family val="2"/>
          </rPr>
          <t xml:space="preserve">
-Assumption based on past 3 year hisorical.
-Total mgmt Discretionary
-Doest not affect Valuation
DCF</t>
        </r>
      </text>
    </comment>
    <comment ref="U28" authorId="0">
      <text>
        <r>
          <rPr>
            <b/>
            <sz val="9"/>
            <color indexed="81"/>
            <rFont val="Tahoma"/>
            <family val="2"/>
          </rPr>
          <t>Oscar Galindo:</t>
        </r>
        <r>
          <rPr>
            <sz val="9"/>
            <color indexed="81"/>
            <rFont val="Tahoma"/>
            <family val="2"/>
          </rPr>
          <t xml:space="preserve">
-RET has historically used Div. signaling. However, in this scenario reduction in dividends could arrive.
-It has no effect on DCF.</t>
        </r>
      </text>
    </comment>
    <comment ref="O29" authorId="0">
      <text>
        <r>
          <rPr>
            <b/>
            <sz val="9"/>
            <color indexed="81"/>
            <rFont val="Tahoma"/>
            <family val="2"/>
          </rPr>
          <t>Oscar Galindo:</t>
        </r>
        <r>
          <rPr>
            <sz val="9"/>
            <color indexed="81"/>
            <rFont val="Tahoma"/>
            <family val="2"/>
          </rPr>
          <t xml:space="preserve">
-From Historical Minimums.
-Only to check on eventual use of Revolving facility </t>
        </r>
      </text>
    </comment>
    <comment ref="O32" authorId="0">
      <text>
        <r>
          <rPr>
            <b/>
            <sz val="9"/>
            <color indexed="81"/>
            <rFont val="Tahoma"/>
            <family val="2"/>
          </rPr>
          <t>Oscar Galindo:</t>
        </r>
        <r>
          <rPr>
            <sz val="9"/>
            <color indexed="81"/>
            <rFont val="Tahoma"/>
            <family val="2"/>
          </rPr>
          <t xml:space="preserve">
So far a mortgage secured by the Warehouse facility is the only RET LT Debt.</t>
        </r>
      </text>
    </comment>
    <comment ref="O35" authorId="0">
      <text>
        <r>
          <rPr>
            <b/>
            <sz val="9"/>
            <color indexed="81"/>
            <rFont val="Tahoma"/>
            <family val="2"/>
          </rPr>
          <t>Oscar Galindo:</t>
        </r>
        <r>
          <rPr>
            <sz val="9"/>
            <color indexed="81"/>
            <rFont val="Tahoma"/>
            <family val="2"/>
          </rPr>
          <t xml:space="preserve">
Disclosed note 4 2016 3Q.
Assumed in use for Year Cash avg Balance</t>
        </r>
      </text>
    </comment>
    <comment ref="O38" authorId="0">
      <text>
        <r>
          <rPr>
            <b/>
            <sz val="9"/>
            <color indexed="81"/>
            <rFont val="Tahoma"/>
            <family val="2"/>
          </rPr>
          <t>Oscar Galindo:</t>
        </r>
        <r>
          <rPr>
            <sz val="9"/>
            <color indexed="81"/>
            <rFont val="Tahoma"/>
            <family val="2"/>
          </rPr>
          <t xml:space="preserve">
Straight forwarded from last historical
</t>
        </r>
      </text>
    </comment>
    <comment ref="M41" authorId="0">
      <text>
        <r>
          <rPr>
            <b/>
            <sz val="9"/>
            <color indexed="81"/>
            <rFont val="Tahoma"/>
            <family val="2"/>
          </rPr>
          <t>Oscar Galindo:</t>
        </r>
        <r>
          <rPr>
            <sz val="9"/>
            <color indexed="81"/>
            <rFont val="Tahoma"/>
            <family val="2"/>
          </rPr>
          <t xml:space="preserve">
Such improvements in the whole scenario may lead to market appreciation similar to historical records</t>
        </r>
      </text>
    </comment>
    <comment ref="S41" authorId="0">
      <text>
        <r>
          <rPr>
            <b/>
            <sz val="9"/>
            <color indexed="81"/>
            <rFont val="Tahoma"/>
            <family val="2"/>
          </rPr>
          <t>Oscar Galindo:</t>
        </r>
        <r>
          <rPr>
            <sz val="9"/>
            <color indexed="81"/>
            <rFont val="Tahoma"/>
            <family val="2"/>
          </rPr>
          <t xml:space="preserve">
Assuming that the share met consensus at the end of forecasted period </t>
        </r>
      </text>
    </comment>
    <comment ref="Y41" authorId="0">
      <text>
        <r>
          <rPr>
            <b/>
            <sz val="9"/>
            <color indexed="81"/>
            <rFont val="Tahoma"/>
            <family val="2"/>
          </rPr>
          <t>Oscar Galindo:</t>
        </r>
        <r>
          <rPr>
            <sz val="9"/>
            <color indexed="81"/>
            <rFont val="Tahoma"/>
            <family val="2"/>
          </rPr>
          <t xml:space="preserve">
Little worst than today's performance
</t>
        </r>
      </text>
    </comment>
  </commentList>
</comments>
</file>

<file path=xl/comments2.xml><?xml version="1.0" encoding="utf-8"?>
<comments xmlns="http://schemas.openxmlformats.org/spreadsheetml/2006/main">
  <authors>
    <author>Brad Barlow</author>
    <author>Oscar Galindo</author>
    <author>Lap pro</author>
  </authors>
  <commentList>
    <comment ref="C13" authorId="0">
      <text>
        <r>
          <rPr>
            <b/>
            <sz val="9"/>
            <color indexed="81"/>
            <rFont val="Tahoma"/>
            <family val="2"/>
          </rPr>
          <t>Oscar Galindo:</t>
        </r>
        <r>
          <rPr>
            <sz val="9"/>
            <color indexed="81"/>
            <rFont val="Tahoma"/>
            <family val="2"/>
          </rPr>
          <t xml:space="preserve">
Removed restructuring charges, Sales of Assets gains / losses, Assets Writedowns, and other</t>
        </r>
      </text>
    </comment>
    <comment ref="D13" authorId="0">
      <text>
        <r>
          <rPr>
            <b/>
            <sz val="9"/>
            <color indexed="81"/>
            <rFont val="Tahoma"/>
            <family val="2"/>
          </rPr>
          <t>Oscar Galindo:</t>
        </r>
        <r>
          <rPr>
            <sz val="9"/>
            <color indexed="81"/>
            <rFont val="Tahoma"/>
            <family val="2"/>
          </rPr>
          <t xml:space="preserve">
Removed restructuring charges, Sales of Assets gains / losses, Assets Writedowns, and other</t>
        </r>
      </text>
    </comment>
    <comment ref="E13" authorId="0">
      <text>
        <r>
          <rPr>
            <b/>
            <sz val="9"/>
            <color indexed="81"/>
            <rFont val="Tahoma"/>
            <family val="2"/>
          </rPr>
          <t>Oscar Galindo:</t>
        </r>
        <r>
          <rPr>
            <sz val="9"/>
            <color indexed="81"/>
            <rFont val="Tahoma"/>
            <family val="2"/>
          </rPr>
          <t xml:space="preserve">
Removed restructuring charges, Sales of Assets gains / losses, Assets Writedowns, and other</t>
        </r>
      </text>
    </comment>
    <comment ref="C18" authorId="1">
      <text>
        <r>
          <rPr>
            <b/>
            <sz val="9"/>
            <color indexed="81"/>
            <rFont val="Tahoma"/>
            <family val="2"/>
          </rPr>
          <t>Oscar Galindo:</t>
        </r>
        <r>
          <rPr>
            <sz val="9"/>
            <color indexed="81"/>
            <rFont val="Tahoma"/>
            <family val="2"/>
          </rPr>
          <t xml:space="preserve">
-Basically Mk Sec gains, good historical perf.
-Currency gains / losses Ignored</t>
        </r>
      </text>
    </comment>
    <comment ref="E18" authorId="1">
      <text>
        <r>
          <rPr>
            <b/>
            <sz val="9"/>
            <color indexed="81"/>
            <rFont val="Tahoma"/>
            <family val="2"/>
          </rPr>
          <t>Oscar Galindo:</t>
        </r>
        <r>
          <rPr>
            <sz val="9"/>
            <color indexed="81"/>
            <rFont val="Tahoma"/>
            <family val="2"/>
          </rPr>
          <t xml:space="preserve">
Here some Restructuration Expenses were included since company faces it from the past year and for two comming years. It will be quite recurrent</t>
        </r>
      </text>
    </comment>
    <comment ref="F18" authorId="1">
      <text>
        <r>
          <rPr>
            <b/>
            <sz val="9"/>
            <color indexed="81"/>
            <rFont val="Tahoma"/>
            <family val="2"/>
          </rPr>
          <t>Oscar Galindo:</t>
        </r>
        <r>
          <rPr>
            <sz val="9"/>
            <color indexed="81"/>
            <rFont val="Tahoma"/>
            <family val="2"/>
          </rPr>
          <t xml:space="preserve">
-Extrapolate current performance on Mk Sec Income . 2016 3Q</t>
        </r>
      </text>
    </comment>
    <comment ref="B28" authorId="1">
      <text>
        <r>
          <rPr>
            <b/>
            <sz val="9"/>
            <color indexed="81"/>
            <rFont val="Tahoma"/>
            <family val="2"/>
          </rPr>
          <t>Oscar Galindo:</t>
        </r>
        <r>
          <rPr>
            <sz val="9"/>
            <color indexed="81"/>
            <rFont val="Tahoma"/>
            <family val="2"/>
          </rPr>
          <t xml:space="preserve">
1.For the forecasted years the Aveg BOP-EOP is used to keep consistency with avergage reported in Actual years
2. Includes Seris A (non voting) and common</t>
        </r>
      </text>
    </comment>
    <comment ref="B29" authorId="1">
      <text>
        <r>
          <rPr>
            <b/>
            <sz val="9"/>
            <color indexed="81"/>
            <rFont val="Tahoma"/>
            <family val="2"/>
          </rPr>
          <t>Oscar Galindo:</t>
        </r>
        <r>
          <rPr>
            <sz val="9"/>
            <color indexed="81"/>
            <rFont val="Tahoma"/>
            <family val="2"/>
          </rPr>
          <t xml:space="preserve">
For the forecasted years the dilutive impact can be straight forwarded. If there is any signs of further variation make your call.</t>
        </r>
      </text>
    </comment>
    <comment ref="E29" authorId="1">
      <text>
        <r>
          <rPr>
            <b/>
            <sz val="9"/>
            <color indexed="81"/>
            <rFont val="Tahoma"/>
            <family val="2"/>
          </rPr>
          <t>Oscar Galindo:</t>
        </r>
        <r>
          <rPr>
            <sz val="9"/>
            <color indexed="81"/>
            <rFont val="Tahoma"/>
            <family val="2"/>
          </rPr>
          <t xml:space="preserve">
For RET options, deemed to be anti-dilutive</t>
        </r>
      </text>
    </comment>
    <comment ref="B42" authorId="1">
      <text>
        <r>
          <rPr>
            <b/>
            <sz val="9"/>
            <color indexed="81"/>
            <rFont val="Tahoma"/>
            <family val="2"/>
          </rPr>
          <t>Oscar Galindo:</t>
        </r>
        <r>
          <rPr>
            <sz val="9"/>
            <color indexed="81"/>
            <rFont val="Tahoma"/>
            <family val="2"/>
          </rPr>
          <t xml:space="preserve">
Basically Marketable Sec
</t>
        </r>
      </text>
    </comment>
    <comment ref="E45" authorId="1">
      <text>
        <r>
          <rPr>
            <b/>
            <sz val="9"/>
            <color indexed="81"/>
            <rFont val="Tahoma"/>
            <family val="2"/>
          </rPr>
          <t>Oscar Galindo:</t>
        </r>
        <r>
          <rPr>
            <sz val="9"/>
            <color indexed="81"/>
            <rFont val="Tahoma"/>
            <family val="2"/>
          </rPr>
          <t xml:space="preserve">
Mostly Financial Derivative Securities
</t>
        </r>
      </text>
    </comment>
    <comment ref="B46" authorId="1">
      <text>
        <r>
          <rPr>
            <b/>
            <sz val="9"/>
            <color indexed="81"/>
            <rFont val="Tahoma"/>
            <family val="2"/>
          </rPr>
          <t>Oscar Galindo:</t>
        </r>
        <r>
          <rPr>
            <sz val="9"/>
            <color indexed="81"/>
            <rFont val="Tahoma"/>
            <family val="2"/>
          </rPr>
          <t xml:space="preserve">
-Net of Acc. Dep
-Inlcude Intangible Assets. </t>
        </r>
      </text>
    </comment>
    <comment ref="B48" authorId="1">
      <text>
        <r>
          <rPr>
            <b/>
            <sz val="9"/>
            <color indexed="81"/>
            <rFont val="Tahoma"/>
            <family val="2"/>
          </rPr>
          <t>Oscar Galindo:</t>
        </r>
        <r>
          <rPr>
            <sz val="9"/>
            <color indexed="81"/>
            <rFont val="Tahoma"/>
            <family val="2"/>
          </rPr>
          <t xml:space="preserve">
Defferred taxes LT</t>
        </r>
      </text>
    </comment>
    <comment ref="B51" authorId="1">
      <text>
        <r>
          <rPr>
            <b/>
            <sz val="9"/>
            <color indexed="81"/>
            <rFont val="Tahoma"/>
            <family val="2"/>
          </rPr>
          <t>Oscar Galindo:</t>
        </r>
        <r>
          <rPr>
            <sz val="9"/>
            <color indexed="81"/>
            <rFont val="Tahoma"/>
            <family val="2"/>
          </rPr>
          <t xml:space="preserve">
Payables only (note 12 2015 Fiscal)</t>
        </r>
      </text>
    </comment>
    <comment ref="B52" authorId="1">
      <text>
        <r>
          <rPr>
            <b/>
            <sz val="9"/>
            <color indexed="81"/>
            <rFont val="Tahoma"/>
            <family val="2"/>
          </rPr>
          <t>Oscar Galindo:</t>
        </r>
        <r>
          <rPr>
            <sz val="9"/>
            <color indexed="81"/>
            <rFont val="Tahoma"/>
            <family val="2"/>
          </rPr>
          <t xml:space="preserve">
Includes ST portion of LT Debts, accrued compensation and benefits, restructuring liabilities, accrued warranty, deferred revenue, deferred distributors revenue, and other accrued liabilities</t>
        </r>
      </text>
    </comment>
    <comment ref="B54" authorId="1">
      <text>
        <r>
          <rPr>
            <b/>
            <sz val="9"/>
            <color indexed="81"/>
            <rFont val="Tahoma"/>
            <family val="2"/>
          </rPr>
          <t>Oscar Galindo:</t>
        </r>
        <r>
          <rPr>
            <sz val="9"/>
            <color indexed="81"/>
            <rFont val="Tahoma"/>
            <family val="2"/>
          </rPr>
          <t xml:space="preserve">
Includes Pensionbenefits, restructuring liabilities less current portion, deferred revenue less current portion, deferred income taxes, and other long term liabilities</t>
        </r>
      </text>
    </comment>
    <comment ref="B63" authorId="1">
      <text>
        <r>
          <rPr>
            <b/>
            <sz val="9"/>
            <color indexed="81"/>
            <rFont val="Tahoma"/>
            <family val="2"/>
          </rPr>
          <t>Oscar Galindo:</t>
        </r>
        <r>
          <rPr>
            <sz val="9"/>
            <color indexed="81"/>
            <rFont val="Tahoma"/>
            <family val="2"/>
          </rPr>
          <t xml:space="preserve">
Acc. Comprensive income and other</t>
        </r>
      </text>
    </comment>
    <comment ref="B90" authorId="1">
      <text>
        <r>
          <rPr>
            <b/>
            <sz val="9"/>
            <color indexed="81"/>
            <rFont val="Tahoma"/>
            <family val="2"/>
          </rPr>
          <t>Oscar Galindo:</t>
        </r>
        <r>
          <rPr>
            <sz val="9"/>
            <color indexed="81"/>
            <rFont val="Tahoma"/>
            <family val="2"/>
          </rPr>
          <t xml:space="preserve">
Composed of Issues and the releases of  treasury.</t>
        </r>
      </text>
    </comment>
    <comment ref="F142" authorId="1">
      <text>
        <r>
          <rPr>
            <b/>
            <sz val="9"/>
            <color indexed="81"/>
            <rFont val="Tahoma"/>
            <family val="2"/>
          </rPr>
          <t>Oscar Galindo:</t>
        </r>
        <r>
          <rPr>
            <sz val="9"/>
            <color indexed="81"/>
            <rFont val="Tahoma"/>
            <family val="2"/>
          </rPr>
          <t xml:space="preserve">
Assumed Repayments of principal till maturity on Nov 2017 (2018 fiscal)
</t>
        </r>
      </text>
    </comment>
    <comment ref="B146" authorId="2">
      <text>
        <r>
          <rPr>
            <b/>
            <sz val="9"/>
            <color indexed="81"/>
            <rFont val="Tahoma"/>
            <family val="2"/>
          </rPr>
          <t>Oscar Galindo:</t>
        </r>
        <r>
          <rPr>
            <sz val="9"/>
            <color indexed="81"/>
            <rFont val="Tahoma"/>
            <family val="2"/>
          </rPr>
          <t xml:space="preserve">
The input here is the %PIK of the whole Debt, is not  %PIK of the partucular tranche which allows the PIK. </t>
        </r>
      </text>
    </comment>
    <comment ref="F146" authorId="1">
      <text>
        <r>
          <rPr>
            <b/>
            <sz val="9"/>
            <color indexed="81"/>
            <rFont val="Tahoma"/>
            <family val="2"/>
          </rPr>
          <t>Oscar Galindo:</t>
        </r>
        <r>
          <rPr>
            <sz val="9"/>
            <color indexed="81"/>
            <rFont val="Tahoma"/>
            <family val="2"/>
          </rPr>
          <t xml:space="preserve">
RET doesn't have other debt nor PIK with actual</t>
        </r>
      </text>
    </comment>
    <comment ref="B178" authorId="1">
      <text>
        <r>
          <rPr>
            <b/>
            <sz val="9"/>
            <color indexed="81"/>
            <rFont val="Tahoma"/>
            <family val="2"/>
          </rPr>
          <t>Oscar Galindo:</t>
        </r>
        <r>
          <rPr>
            <sz val="9"/>
            <color indexed="81"/>
            <rFont val="Tahoma"/>
            <family val="2"/>
          </rPr>
          <t xml:space="preserve">
RET includes the offset entry of the Stock B. Comp in the contributed surplus </t>
        </r>
      </text>
    </comment>
    <comment ref="B188" authorId="1">
      <text>
        <r>
          <rPr>
            <b/>
            <sz val="9"/>
            <color indexed="81"/>
            <rFont val="Tahoma"/>
            <family val="2"/>
          </rPr>
          <t xml:space="preserve">Oscar Galindo:
</t>
        </r>
        <r>
          <rPr>
            <sz val="9"/>
            <color indexed="81"/>
            <rFont val="Tahoma"/>
            <family val="2"/>
          </rPr>
          <t>Here the model Simulates that the amount spent to repurchase stock increases as the avg price of the share increases</t>
        </r>
      </text>
    </comment>
    <comment ref="F188" authorId="1">
      <text>
        <r>
          <rPr>
            <b/>
            <sz val="9"/>
            <color indexed="81"/>
            <rFont val="Tahoma"/>
            <family val="2"/>
          </rPr>
          <t>Oscar Galindo:</t>
        </r>
        <r>
          <rPr>
            <sz val="9"/>
            <color indexed="81"/>
            <rFont val="Tahoma"/>
            <family val="2"/>
          </rPr>
          <t xml:space="preserve">
Repurchased as of to date. 2015 3Q
</t>
        </r>
      </text>
    </comment>
    <comment ref="G188" authorId="1">
      <text>
        <r>
          <rPr>
            <b/>
            <sz val="9"/>
            <color indexed="81"/>
            <rFont val="Tahoma"/>
            <family val="2"/>
          </rPr>
          <t>Oscar Galindo:</t>
        </r>
        <r>
          <rPr>
            <sz val="9"/>
            <color indexed="81"/>
            <rFont val="Tahoma"/>
            <family val="2"/>
          </rPr>
          <t xml:space="preserve">
Ther is no Mgmt Guidance of Further NCIB </t>
        </r>
      </text>
    </comment>
    <comment ref="B192" authorId="1">
      <text>
        <r>
          <rPr>
            <b/>
            <sz val="9"/>
            <color indexed="81"/>
            <rFont val="Tahoma"/>
            <family val="2"/>
          </rPr>
          <t>Oscar Galindo:</t>
        </r>
        <r>
          <rPr>
            <sz val="9"/>
            <color indexed="81"/>
            <rFont val="Tahoma"/>
            <family val="2"/>
          </rPr>
          <t xml:space="preserve">
This Schedule uses info outside of the model to forecast the Bsoutstanding (consensus). Some imputs such as EPS consensus doesn't affect the model.</t>
        </r>
      </text>
    </comment>
    <comment ref="B194" authorId="1">
      <text>
        <r>
          <rPr>
            <b/>
            <sz val="9"/>
            <color indexed="81"/>
            <rFont val="Tahoma"/>
            <family val="2"/>
          </rPr>
          <t>Oscar Galindo:</t>
        </r>
        <r>
          <rPr>
            <sz val="9"/>
            <color indexed="81"/>
            <rFont val="Tahoma"/>
            <family val="2"/>
          </rPr>
          <t xml:space="preserve">
Includes effect of options excercised </t>
        </r>
      </text>
    </comment>
    <comment ref="F196" authorId="1">
      <text>
        <r>
          <rPr>
            <b/>
            <sz val="9"/>
            <color indexed="81"/>
            <rFont val="Tahoma"/>
            <family val="2"/>
          </rPr>
          <t>Oscar Galindo:</t>
        </r>
        <r>
          <rPr>
            <sz val="9"/>
            <color indexed="81"/>
            <rFont val="Tahoma"/>
            <family val="2"/>
          </rPr>
          <t xml:space="preserve">
This value was hard coded since it's a fact the number RET repurchased (note 9 2015 3Q)</t>
        </r>
      </text>
    </comment>
    <comment ref="B197" authorId="1">
      <text>
        <r>
          <rPr>
            <b/>
            <sz val="9"/>
            <color indexed="81"/>
            <rFont val="Tahoma"/>
            <family val="2"/>
          </rPr>
          <t>Oscar Galindo:</t>
        </r>
        <r>
          <rPr>
            <sz val="9"/>
            <color indexed="81"/>
            <rFont val="Tahoma"/>
            <family val="2"/>
          </rPr>
          <t xml:space="preserve">
Oscar Galindo:
Here the EOP of the last actual year is not taken from the IS (Average). It's Used the one stated in the front page of the most recent report (for US companies) or the one in the notes for Capital stok for TSX companies. That one is exact for the Basic count.</t>
        </r>
      </text>
    </comment>
    <comment ref="E197" authorId="1">
      <text>
        <r>
          <rPr>
            <b/>
            <sz val="9"/>
            <color indexed="81"/>
            <rFont val="Tahoma"/>
            <family val="2"/>
          </rPr>
          <t>Oscar Galindo:</t>
        </r>
        <r>
          <rPr>
            <sz val="9"/>
            <color indexed="81"/>
            <rFont val="Tahoma"/>
            <family val="2"/>
          </rPr>
          <t xml:space="preserve">
Here the EOP of the last actual year is not taken from the IS (Average). It's Used the one stated in the front page of the most recent report (for US companies) or the one in the notes for Capital stok for TSX companies. That one is exact for the Basic count.</t>
        </r>
      </text>
    </comment>
    <comment ref="B199" authorId="1">
      <text>
        <r>
          <rPr>
            <b/>
            <sz val="9"/>
            <color indexed="81"/>
            <rFont val="Tahoma"/>
            <family val="2"/>
          </rPr>
          <t>Oscar Galindo:</t>
        </r>
        <r>
          <rPr>
            <sz val="9"/>
            <color indexed="81"/>
            <rFont val="Tahoma"/>
            <family val="2"/>
          </rPr>
          <t xml:space="preserve">
For the firs two Forecasted years taken from the Consensus</t>
        </r>
      </text>
    </comment>
    <comment ref="B200" authorId="1">
      <text>
        <r>
          <rPr>
            <b/>
            <sz val="9"/>
            <color indexed="81"/>
            <rFont val="Tahoma"/>
            <family val="2"/>
          </rPr>
          <t>Oscar Galindo:</t>
        </r>
        <r>
          <rPr>
            <sz val="9"/>
            <color indexed="81"/>
            <rFont val="Tahoma"/>
            <family val="2"/>
          </rPr>
          <t xml:space="preserve">
For the last forecasted years it uses  the 5-Yr Forward EPS CAGR given by Equity research consensus.</t>
        </r>
      </text>
    </comment>
    <comment ref="B201" authorId="1">
      <text>
        <r>
          <rPr>
            <b/>
            <sz val="9"/>
            <color indexed="81"/>
            <rFont val="Tahoma"/>
            <family val="2"/>
          </rPr>
          <t>Oscar Galindo:</t>
        </r>
        <r>
          <rPr>
            <sz val="9"/>
            <color indexed="81"/>
            <rFont val="Tahoma"/>
            <family val="2"/>
          </rPr>
          <t xml:space="preserve">
For the last actual year is the avg price for one year. 
Also,this model uses the EPS CAGR as a proxy of the future Share price growth</t>
        </r>
      </text>
    </comment>
  </commentList>
</comments>
</file>

<file path=xl/comments3.xml><?xml version="1.0" encoding="utf-8"?>
<comments xmlns="http://schemas.openxmlformats.org/spreadsheetml/2006/main">
  <authors>
    <author>Oscar Galindo</author>
    <author>Lap pro</author>
  </authors>
  <commentList>
    <comment ref="C15" authorId="0">
      <text>
        <r>
          <rPr>
            <b/>
            <sz val="9"/>
            <color indexed="81"/>
            <rFont val="Tahoma"/>
            <family val="2"/>
          </rPr>
          <t>Oscar Galindo:</t>
        </r>
        <r>
          <rPr>
            <sz val="9"/>
            <color indexed="81"/>
            <rFont val="Tahoma"/>
            <family val="2"/>
          </rPr>
          <t xml:space="preserve">
-As of today EV/EBITDA is arrround 1.8x.
</t>
        </r>
      </text>
    </comment>
    <comment ref="C16" authorId="0">
      <text>
        <r>
          <rPr>
            <b/>
            <sz val="9"/>
            <color indexed="81"/>
            <rFont val="Tahoma"/>
            <family val="2"/>
          </rPr>
          <t>Oscar Galindo:</t>
        </r>
        <r>
          <rPr>
            <sz val="9"/>
            <color indexed="81"/>
            <rFont val="Tahoma"/>
            <family val="2"/>
          </rPr>
          <t xml:space="preserve">
Growth rate as industy saturates </t>
        </r>
        <r>
          <rPr>
            <sz val="9"/>
            <color indexed="81"/>
            <rFont val="Tahoma"/>
            <family val="2"/>
          </rPr>
          <t xml:space="preserve">
</t>
        </r>
      </text>
    </comment>
    <comment ref="C21" authorId="0">
      <text>
        <r>
          <rPr>
            <b/>
            <sz val="9"/>
            <color indexed="81"/>
            <rFont val="Tahoma"/>
            <family val="2"/>
          </rPr>
          <t>Oscar Galindo:</t>
        </r>
        <r>
          <rPr>
            <sz val="9"/>
            <color indexed="81"/>
            <rFont val="Tahoma"/>
            <family val="2"/>
          </rPr>
          <t xml:space="preserve">
-LT Debt.
-Financial leases' interest are embeeded on rent increases.</t>
        </r>
      </text>
    </comment>
    <comment ref="C23" authorId="0">
      <text>
        <r>
          <rPr>
            <b/>
            <sz val="9"/>
            <color indexed="81"/>
            <rFont val="Tahoma"/>
            <family val="2"/>
          </rPr>
          <t>Oscar Galindo:</t>
        </r>
        <r>
          <rPr>
            <sz val="9"/>
            <color indexed="81"/>
            <rFont val="Tahoma"/>
            <family val="2"/>
          </rPr>
          <t xml:space="preserve">
10 Yr CAN-Bond as of 08/12/2015</t>
        </r>
      </text>
    </comment>
    <comment ref="E23" authorId="1">
      <text>
        <r>
          <rPr>
            <b/>
            <sz val="9"/>
            <color indexed="81"/>
            <rFont val="Tahoma"/>
            <family val="2"/>
          </rPr>
          <t>Lap pro:</t>
        </r>
        <r>
          <rPr>
            <sz val="9"/>
            <color indexed="81"/>
            <rFont val="Tahoma"/>
            <family val="2"/>
          </rPr>
          <t xml:space="preserve">
Choose between the β observed in the Market and the Industry based (Re-levered) β.
-If industry β calculations aren't done (Bottom ) an error will appear 
</t>
        </r>
      </text>
    </comment>
    <comment ref="C25" authorId="0">
      <text>
        <r>
          <rPr>
            <b/>
            <sz val="9"/>
            <color indexed="81"/>
            <rFont val="Tahoma"/>
            <family val="2"/>
          </rPr>
          <t>Oscar Galindo:</t>
        </r>
        <r>
          <rPr>
            <sz val="9"/>
            <color indexed="81"/>
            <rFont val="Tahoma"/>
            <family val="2"/>
          </rPr>
          <t xml:space="preserve">
Derived from Ibboston - Chen Macro economics expectation model</t>
        </r>
      </text>
    </comment>
    <comment ref="B31" authorId="0">
      <text>
        <r>
          <rPr>
            <b/>
            <sz val="9"/>
            <color indexed="81"/>
            <rFont val="Tahoma"/>
            <family val="2"/>
          </rPr>
          <t>Oscar Galindo:</t>
        </r>
        <r>
          <rPr>
            <sz val="9"/>
            <color indexed="81"/>
            <rFont val="Tahoma"/>
            <family val="2"/>
          </rPr>
          <t xml:space="preserve">
Select the wacc you want to use depending on market conditions or stock volatility</t>
        </r>
      </text>
    </comment>
    <comment ref="F37" authorId="1">
      <text>
        <r>
          <rPr>
            <b/>
            <sz val="9"/>
            <color indexed="81"/>
            <rFont val="Tahoma"/>
            <family val="2"/>
          </rPr>
          <t>Oscar Galindo:</t>
        </r>
        <r>
          <rPr>
            <sz val="9"/>
            <color indexed="81"/>
            <rFont val="Tahoma"/>
            <family val="2"/>
          </rPr>
          <t xml:space="preserve">
This Column is the one being added on the Present Value of FCF. </t>
        </r>
      </text>
    </comment>
    <comment ref="G37" authorId="0">
      <text>
        <r>
          <rPr>
            <b/>
            <sz val="9"/>
            <color indexed="81"/>
            <rFont val="Tahoma"/>
            <family val="2"/>
          </rPr>
          <t>Oscar Galindo:</t>
        </r>
        <r>
          <rPr>
            <sz val="9"/>
            <color indexed="81"/>
            <rFont val="Tahoma"/>
            <family val="2"/>
          </rPr>
          <t xml:space="preserve">
This Column is not being added on the Present Values of FCF. It's only used to compute Year stub values</t>
        </r>
      </text>
    </comment>
    <comment ref="H59" authorId="1">
      <text>
        <r>
          <rPr>
            <b/>
            <sz val="9"/>
            <color indexed="81"/>
            <rFont val="Tahoma"/>
            <family val="2"/>
          </rPr>
          <t xml:space="preserve">Oscar Galindo:
</t>
        </r>
        <r>
          <rPr>
            <sz val="9"/>
            <color indexed="81"/>
            <rFont val="Tahoma"/>
            <family val="2"/>
          </rPr>
          <t>Straight forwarded only from here</t>
        </r>
      </text>
    </comment>
    <comment ref="C89" authorId="0">
      <text>
        <r>
          <rPr>
            <b/>
            <sz val="9"/>
            <color indexed="81"/>
            <rFont val="Tahoma"/>
            <family val="2"/>
          </rPr>
          <t>Oscar Galindo:</t>
        </r>
        <r>
          <rPr>
            <sz val="9"/>
            <color indexed="81"/>
            <rFont val="Tahoma"/>
            <family val="2"/>
          </rPr>
          <t xml:space="preserve">
Points Awarded and Gift cards unclaimed</t>
        </r>
      </text>
    </comment>
    <comment ref="C123" authorId="0">
      <text>
        <r>
          <rPr>
            <b/>
            <sz val="9"/>
            <color indexed="81"/>
            <rFont val="Tahoma"/>
            <family val="2"/>
          </rPr>
          <t>Oscar Galindo:</t>
        </r>
        <r>
          <rPr>
            <sz val="9"/>
            <color indexed="81"/>
            <rFont val="Tahoma"/>
            <family val="2"/>
          </rPr>
          <t xml:space="preserve">
Includes Operating leases Offices, stores and others), and Purchase obligations,  Contracts commitments.
Exludes portion that had 1 year remaining at the end of fiscal 2015</t>
        </r>
      </text>
    </comment>
    <comment ref="B125" authorId="0">
      <text>
        <r>
          <rPr>
            <b/>
            <sz val="9"/>
            <color indexed="81"/>
            <rFont val="Tahoma"/>
            <family val="2"/>
          </rPr>
          <t>Oscar Galindo:</t>
        </r>
        <r>
          <rPr>
            <sz val="9"/>
            <color indexed="81"/>
            <rFont val="Tahoma"/>
            <family val="2"/>
          </rPr>
          <t xml:space="preserve">
Equity= EV - Net Debt - Off BS -Noncontrolling Interest + Inv. In associates</t>
        </r>
      </text>
    </comment>
    <comment ref="B133" authorId="0">
      <text>
        <r>
          <rPr>
            <b/>
            <sz val="9"/>
            <color indexed="81"/>
            <rFont val="Tahoma"/>
            <family val="2"/>
          </rPr>
          <t>Oscar Galindo:</t>
        </r>
        <r>
          <rPr>
            <sz val="9"/>
            <color indexed="81"/>
            <rFont val="Tahoma"/>
            <family val="2"/>
          </rPr>
          <t xml:space="preserve">
Industry β  against TSX was not  calculated because leading competitor is not  listed in TSX and the other is private equity.
</t>
        </r>
      </text>
    </comment>
  </commentList>
</comments>
</file>

<file path=xl/sharedStrings.xml><?xml version="1.0" encoding="utf-8"?>
<sst xmlns="http://schemas.openxmlformats.org/spreadsheetml/2006/main" count="405" uniqueCount="304">
  <si>
    <t>COVER SHEET</t>
  </si>
  <si>
    <t>x</t>
  </si>
  <si>
    <t>General Inputs</t>
  </si>
  <si>
    <t>Analysts:</t>
  </si>
  <si>
    <t>Oscar Galindo, Gerald Marchel, Simon Foucher, Stephanie Haddad, Alexandru Ionita</t>
  </si>
  <si>
    <t>Company Name:</t>
  </si>
  <si>
    <t>Reitmans (CANADA) Limited</t>
  </si>
  <si>
    <t>Ticker:</t>
  </si>
  <si>
    <t>RET</t>
  </si>
  <si>
    <t xml:space="preserve">Source Document: </t>
  </si>
  <si>
    <t>2015 Annual Report, 2016 3Q int.</t>
  </si>
  <si>
    <t>Last Fiscal Year Date</t>
  </si>
  <si>
    <t>Last Edit Date:</t>
  </si>
  <si>
    <t>Share Price Date:</t>
  </si>
  <si>
    <t>Share Price:</t>
  </si>
  <si>
    <t>Calculation Settings</t>
  </si>
  <si>
    <t>- "Manual Calculation" feature in Excel is turned on. You must press F9 every time you want to compute Dynamic tables for sensitivity analysis.</t>
  </si>
  <si>
    <t>- The "Iteration" feature in Excel is turned on.</t>
  </si>
  <si>
    <t xml:space="preserve">Formatting </t>
  </si>
  <si>
    <t>Yellow fill, blue font</t>
  </si>
  <si>
    <t>Hard-coded input</t>
  </si>
  <si>
    <t>No fill, black font</t>
  </si>
  <si>
    <t>Calculation/reference</t>
  </si>
  <si>
    <t>No fill, green font</t>
  </si>
  <si>
    <t>Reference to another worksheet</t>
  </si>
  <si>
    <t>Number Convention</t>
  </si>
  <si>
    <t>Numbers in millions, except per share data</t>
  </si>
  <si>
    <t>Model Balancing Confirmation</t>
  </si>
  <si>
    <t>Does balance sheet balance?</t>
  </si>
  <si>
    <t xml:space="preserve">Circularity and Iterations </t>
  </si>
  <si>
    <t>Circularity breaker</t>
  </si>
  <si>
    <t>OFF</t>
  </si>
  <si>
    <t xml:space="preserve">If the model "blows up", turn the circuit breaker above on, and then immediately off again. </t>
  </si>
  <si>
    <t>This model has an intentional circularity in the calculation of interest expense and Interest Income.
Interest expense/income is calculated as interest rate times average current and prior period debt/cash balances.</t>
  </si>
  <si>
    <t>ASSUMPTIONS SHEET</t>
  </si>
  <si>
    <t>Model Assumptions</t>
  </si>
  <si>
    <t>Select a scenario:</t>
  </si>
  <si>
    <t>Best Case</t>
  </si>
  <si>
    <t>Income Statement Assumptions</t>
  </si>
  <si>
    <t>Revenue Growth</t>
  </si>
  <si>
    <t>COGS Margin</t>
  </si>
  <si>
    <t>Operating Expenses Margin</t>
  </si>
  <si>
    <t>Effective Tax Rate</t>
  </si>
  <si>
    <t>Working Capital Assumptions</t>
  </si>
  <si>
    <t>AR as Days of Sales</t>
  </si>
  <si>
    <t>Inventory as Days of COGS</t>
  </si>
  <si>
    <t>AP as days of  COGS</t>
  </si>
  <si>
    <t>Fixed Asset Assumptions</t>
  </si>
  <si>
    <t>Capital Expenditures as % of Revenue</t>
  </si>
  <si>
    <t>Depreciation / Capital Expenditures Ratio</t>
  </si>
  <si>
    <t>Capital Structure Assumptions</t>
  </si>
  <si>
    <t>Dividend Payout Ratio</t>
  </si>
  <si>
    <t>Minimum Cash Balance</t>
  </si>
  <si>
    <t>Debt Assumptions</t>
  </si>
  <si>
    <t>Interest Rate</t>
  </si>
  <si>
    <t>Cash Assumptions</t>
  </si>
  <si>
    <t>Stock Assumptions</t>
  </si>
  <si>
    <t>Stock Based Compensation as % of Total Exp.</t>
  </si>
  <si>
    <t>Exit Assumptions</t>
  </si>
  <si>
    <t>Exit EBITDA at end of forecasted period</t>
  </si>
  <si>
    <t>Do not move/alter these (being used for data validation)</t>
  </si>
  <si>
    <t>Base Case</t>
  </si>
  <si>
    <t>Weak Case</t>
  </si>
  <si>
    <t>LT Debt Avg</t>
  </si>
  <si>
    <t>Description</t>
  </si>
  <si>
    <t>Ammount</t>
  </si>
  <si>
    <t>Rate</t>
  </si>
  <si>
    <t>Debt Weight</t>
  </si>
  <si>
    <t>Weighted rate</t>
  </si>
  <si>
    <t>Mortgage due on Dec 2017</t>
  </si>
  <si>
    <t>Total</t>
  </si>
  <si>
    <t>Avg rate</t>
  </si>
  <si>
    <t>FINANCIAL STATEMENT MODEL</t>
  </si>
  <si>
    <t>Income Statement</t>
  </si>
  <si>
    <t>$mm</t>
  </si>
  <si>
    <t>Actuals</t>
  </si>
  <si>
    <t>Projected</t>
  </si>
  <si>
    <t>Revenues</t>
  </si>
  <si>
    <t>Cost of Goods Sold (COGS)</t>
  </si>
  <si>
    <t xml:space="preserve">Gross Profit </t>
  </si>
  <si>
    <t>Operating Expenses</t>
  </si>
  <si>
    <t>Operating Profit (EBIT)</t>
  </si>
  <si>
    <t>Interest Income</t>
  </si>
  <si>
    <t>Interest Expense</t>
  </si>
  <si>
    <t>Other Income / (Expense)</t>
  </si>
  <si>
    <t>Pretax Income</t>
  </si>
  <si>
    <t>Tax Benefit / (Expense)</t>
  </si>
  <si>
    <t>Net Income</t>
  </si>
  <si>
    <t>Depreciation + Amortization</t>
  </si>
  <si>
    <t>Stock Based Compensation</t>
  </si>
  <si>
    <t>EBITDA</t>
  </si>
  <si>
    <t>Basic Shares Outstanding</t>
  </si>
  <si>
    <t>Impact of dilutive securities</t>
  </si>
  <si>
    <t>Diluted Weighted-Average Shares Outstanding</t>
  </si>
  <si>
    <t>GAAP Normalized Diluted Earnings Per Share</t>
  </si>
  <si>
    <t>Balance Sheet</t>
  </si>
  <si>
    <t>Cash + Cash Equivalents</t>
  </si>
  <si>
    <t>ST Investements</t>
  </si>
  <si>
    <t>Accounts Receivable and Other receivables</t>
  </si>
  <si>
    <t>Inventory</t>
  </si>
  <si>
    <t>Other Current Assets</t>
  </si>
  <si>
    <t>Property, Plant &amp; Equipment</t>
  </si>
  <si>
    <t>Good Will</t>
  </si>
  <si>
    <t xml:space="preserve">Other Non-Current Assets </t>
  </si>
  <si>
    <t>Total Assets</t>
  </si>
  <si>
    <t xml:space="preserve">Accounts Payable </t>
  </si>
  <si>
    <t>Other Current Liabilities</t>
  </si>
  <si>
    <t>Long Term Debt</t>
  </si>
  <si>
    <t>Other Non-Current Liabilities</t>
  </si>
  <si>
    <t>Non Controlling Interests</t>
  </si>
  <si>
    <t>Revolver</t>
  </si>
  <si>
    <t>Total Liabilities</t>
  </si>
  <si>
    <t>Common Stock + Additional Paid-in-Capital</t>
  </si>
  <si>
    <t>Convertible Preferred Stock</t>
  </si>
  <si>
    <t>Treasury Stock</t>
  </si>
  <si>
    <t>Retained Earnings / (Accumulated Deficit)</t>
  </si>
  <si>
    <t>Other Equity</t>
  </si>
  <si>
    <t>Total Equity</t>
  </si>
  <si>
    <t>Balance check</t>
  </si>
  <si>
    <t>Cash Flow Statement</t>
  </si>
  <si>
    <t xml:space="preserve">Stock Based Compensation </t>
  </si>
  <si>
    <t>Accounts Receivable</t>
  </si>
  <si>
    <t>Other Non-Current Assets</t>
  </si>
  <si>
    <t>Accounts Payable</t>
  </si>
  <si>
    <t>Accured Interest (PIK)</t>
  </si>
  <si>
    <t>Cash from Operations Activities</t>
  </si>
  <si>
    <t>Capital Expenditures</t>
  </si>
  <si>
    <t>Cash from Investing Activities</t>
  </si>
  <si>
    <t>LT Debt (+ New Borrowings / - Repayments )</t>
  </si>
  <si>
    <t>Dividends</t>
  </si>
  <si>
    <t>Stock Repurchases</t>
  </si>
  <si>
    <t>Cash from Financing Activities</t>
  </si>
  <si>
    <t>Net Change in Cash</t>
  </si>
  <si>
    <t>Supporting Schedules</t>
  </si>
  <si>
    <t>Accounts Receivable - BOP</t>
  </si>
  <si>
    <t>+/- Additions / (Subtractions)</t>
  </si>
  <si>
    <t>Accounts Receivable - EOP</t>
  </si>
  <si>
    <t>Inventory - BOP</t>
  </si>
  <si>
    <t>Inventory - EOP</t>
  </si>
  <si>
    <t>Accounts Payable - BOP</t>
  </si>
  <si>
    <t>Accounts Payable - EOP</t>
  </si>
  <si>
    <t>AP as Days of COGS</t>
  </si>
  <si>
    <t>PP&amp;E - BOP</t>
  </si>
  <si>
    <t>+ Capital Expenditures</t>
  </si>
  <si>
    <t>- Depreciation</t>
  </si>
  <si>
    <t>PP&amp;E - EOP</t>
  </si>
  <si>
    <t>Retained Earnings</t>
  </si>
  <si>
    <t>Retained Earnings at BOP</t>
  </si>
  <si>
    <t>+ Net income</t>
  </si>
  <si>
    <t>- Cancelation of Recpurchased Stock</t>
  </si>
  <si>
    <t>- Dividends</t>
  </si>
  <si>
    <t>Retained Earnings - EOP</t>
  </si>
  <si>
    <t>LT Debt at BOP</t>
  </si>
  <si>
    <t>Additional Borrowing / (-Pay Down)</t>
  </si>
  <si>
    <t>PIK accrual (If exists)</t>
  </si>
  <si>
    <t>Long Term Debt at EOP</t>
  </si>
  <si>
    <t>% of Inerest paid as PIK (accrual Interests)</t>
  </si>
  <si>
    <t>% of Interest paid in cash</t>
  </si>
  <si>
    <t>Revolver at BOP</t>
  </si>
  <si>
    <t>+/- Drawdown/(Repayment)</t>
  </si>
  <si>
    <t>Revolver at EOP</t>
  </si>
  <si>
    <t>Cash at BOP</t>
  </si>
  <si>
    <t>Excess Cash at BOP</t>
  </si>
  <si>
    <t>Excess Cash + Pre-Revolver Cash Flows</t>
  </si>
  <si>
    <t>Interest Rate on Debt</t>
  </si>
  <si>
    <t>Interest Rate on Cash</t>
  </si>
  <si>
    <t>REGARDING CAPITAL STOCK</t>
  </si>
  <si>
    <t>Fiscal Year</t>
  </si>
  <si>
    <t>Fiscal Year end date</t>
  </si>
  <si>
    <t>Common Stock plus Aditional Paid in Capital</t>
  </si>
  <si>
    <t>BOP</t>
  </si>
  <si>
    <t>+ New Shares Issuances</t>
  </si>
  <si>
    <t>+ Stock Based Compensation</t>
  </si>
  <si>
    <t xml:space="preserve"> EOP</t>
  </si>
  <si>
    <t>New Shares Issuances</t>
  </si>
  <si>
    <t xml:space="preserve">Treasury Stock </t>
  </si>
  <si>
    <t>- Stock repurchases</t>
  </si>
  <si>
    <t>+ Cancelation of Repurchased Stock</t>
  </si>
  <si>
    <t>+ Releases</t>
  </si>
  <si>
    <t>Stock Repurchases (-)</t>
  </si>
  <si>
    <t>% of Canceled Repurchased Stock</t>
  </si>
  <si>
    <t>% of Released out of Total Teasury previous balance</t>
  </si>
  <si>
    <t xml:space="preserve"> + New Shares Issued</t>
  </si>
  <si>
    <t xml:space="preserve"> + Treasury Releases</t>
  </si>
  <si>
    <t xml:space="preserve"> - Shares Repurchased</t>
  </si>
  <si>
    <t>Consensus EPS (Fully Diluted)</t>
  </si>
  <si>
    <t xml:space="preserve">% Changen in EPS </t>
  </si>
  <si>
    <t>Average Share Price</t>
  </si>
  <si>
    <t>Treasury Stock Outstanding</t>
  </si>
  <si>
    <t xml:space="preserve"> + Shares Cancelled</t>
  </si>
  <si>
    <t>EOP</t>
  </si>
  <si>
    <t>Sensitivity Analysis</t>
  </si>
  <si>
    <t>Diluted EPS based  on various revenue growth assumptions (column) and COGS margin assumptions (row), over the 3 first forecasted years</t>
  </si>
  <si>
    <t>COGS margin</t>
  </si>
  <si>
    <t>Revenue growth range</t>
  </si>
  <si>
    <t>DISCOUNTED CASH FLOW ANALYSIS</t>
  </si>
  <si>
    <t>DCF Assumptions</t>
  </si>
  <si>
    <t>General Assumptions</t>
  </si>
  <si>
    <t>Previous Fiscal Year End</t>
  </si>
  <si>
    <t>Current Date</t>
  </si>
  <si>
    <t>Current Share Price</t>
  </si>
  <si>
    <t>Fraction of Year Remaining (stub year)</t>
  </si>
  <si>
    <t>Terminal Value Assumptions</t>
  </si>
  <si>
    <t xml:space="preserve">Terminal Year EBITDA </t>
  </si>
  <si>
    <t>Terminal Value EBITDA Multiple</t>
  </si>
  <si>
    <t>Long-Term Growth Rate (g)</t>
  </si>
  <si>
    <t>Cost of Capital Assumptions</t>
  </si>
  <si>
    <t>Cost of Debt</t>
  </si>
  <si>
    <t>Debt as % of Total Capital Structure</t>
  </si>
  <si>
    <t>Risk Free Rate</t>
  </si>
  <si>
    <t>Observed β</t>
  </si>
  <si>
    <t>Select β</t>
  </si>
  <si>
    <t xml:space="preserve">Company Beta </t>
  </si>
  <si>
    <t>Observed  β</t>
  </si>
  <si>
    <t>Market Risk Premium</t>
  </si>
  <si>
    <t xml:space="preserve">Cost of Equity (Discretionary / current market) </t>
  </si>
  <si>
    <t>Cost of Equity (CAPM)</t>
  </si>
  <si>
    <t>𝑊𝐴𝐶𝐶=〖[𝑟_𝑑𝑒𝑏𝑡∗(1−𝑡𝑎𝑥 𝑟𝑎𝑡𝑒)∗𝐷𝑒𝑏𝑡/(𝐷𝑒𝑏𝑡+𝐸𝑞𝑢𝑖𝑡𝑦)]+[𝑟_𝑒𝑞𝑢𝑖𝑡𝑦∗𝐸𝑞𝑢𝑖𝑡𝑦/(𝐷𝑒𝑏𝑡+𝐸𝑞𝑢𝑖𝑡𝑦)]〗</t>
  </si>
  <si>
    <t xml:space="preserve">Equity as % of Total Capital Structure </t>
  </si>
  <si>
    <t>WACC using CAPM for the Cost of Equity</t>
  </si>
  <si>
    <t>WACC using Cost of Equity (Discretionary / current market)</t>
  </si>
  <si>
    <t>Selected WACC</t>
  </si>
  <si>
    <t>Free Cash Flow Buildup</t>
  </si>
  <si>
    <t>Stub Year</t>
  </si>
  <si>
    <t>Fiscal Year-End Date</t>
  </si>
  <si>
    <t>EBIT</t>
  </si>
  <si>
    <t>EBIAT (aka NOPAT or Unlevered NI)</t>
  </si>
  <si>
    <t xml:space="preserve">Unlevered Cash from Operations </t>
  </si>
  <si>
    <t>Scheduled LT Debt Repayments</t>
  </si>
  <si>
    <t>Unlevered Free Cash Flows</t>
  </si>
  <si>
    <t xml:space="preserve">Period </t>
  </si>
  <si>
    <t>Period after stub adjustment</t>
  </si>
  <si>
    <t>Assume cash flows are generated at</t>
  </si>
  <si>
    <t>Mid of Period</t>
  </si>
  <si>
    <t>Discount factor</t>
  </si>
  <si>
    <t>Mid-year adjustment factor</t>
  </si>
  <si>
    <t>Present Value of Free Cash Flows</t>
  </si>
  <si>
    <t>Enterprise  Value</t>
  </si>
  <si>
    <t>Perpetuity FCF Approach</t>
  </si>
  <si>
    <t>FCF in Last Forecast Period (t)</t>
  </si>
  <si>
    <r>
      <t>FCF</t>
    </r>
    <r>
      <rPr>
        <vertAlign val="superscript"/>
        <sz val="11"/>
        <color theme="1"/>
        <rFont val="Calibri"/>
        <family val="2"/>
        <scheme val="minor"/>
      </rPr>
      <t xml:space="preserve">t+1 </t>
    </r>
  </si>
  <si>
    <t>Terminal Value</t>
  </si>
  <si>
    <t>Terminal Value after Mid Year Adjustment</t>
  </si>
  <si>
    <t>Present Value of Terminal Value</t>
  </si>
  <si>
    <t>Preent Value of Free Cash Flows</t>
  </si>
  <si>
    <t>Enterprise Value</t>
  </si>
  <si>
    <t>Exit EBITDA Multiple Approach</t>
  </si>
  <si>
    <t>Terminal Year EBITDA</t>
  </si>
  <si>
    <t xml:space="preserve">Terminal Value </t>
  </si>
  <si>
    <t>Present Value of Free cash Flows</t>
  </si>
  <si>
    <t>Net Debt</t>
  </si>
  <si>
    <t>Debt</t>
  </si>
  <si>
    <t>Debt Equivalent - Convertible Preferred Stock</t>
  </si>
  <si>
    <t>Cash</t>
  </si>
  <si>
    <t>Defferred Revenue</t>
  </si>
  <si>
    <t>Shares Outstanding</t>
  </si>
  <si>
    <t>Options / Warrants Data</t>
  </si>
  <si>
    <t># Options</t>
  </si>
  <si>
    <t>$ Strike</t>
  </si>
  <si>
    <t># In-the-$</t>
  </si>
  <si>
    <t>Tranche 1</t>
  </si>
  <si>
    <t>Tranche 2</t>
  </si>
  <si>
    <t>Tranche 3</t>
  </si>
  <si>
    <t>Tranche 4</t>
  </si>
  <si>
    <t>Tranche 5</t>
  </si>
  <si>
    <t>Tranche 6</t>
  </si>
  <si>
    <t>Tranche 7</t>
  </si>
  <si>
    <t>Tranche 8</t>
  </si>
  <si>
    <t>Tranche 9</t>
  </si>
  <si>
    <t>Tranche 10</t>
  </si>
  <si>
    <t>Total In-the-$ Options</t>
  </si>
  <si>
    <t>Total Proceeds ($mm)</t>
  </si>
  <si>
    <t>Total Shares Repurchased</t>
  </si>
  <si>
    <t>Net Dilutive Options</t>
  </si>
  <si>
    <t>Dilutive Impact of Convertible Preferred Stock</t>
  </si>
  <si>
    <t>Diluted Shares Outstanding</t>
  </si>
  <si>
    <t>Valuation</t>
  </si>
  <si>
    <t>Perpetuity</t>
  </si>
  <si>
    <t>Exit EBITDA</t>
  </si>
  <si>
    <t>Equity Value per Share (Growth Rate vs WACC)</t>
  </si>
  <si>
    <t>This data table analizes stock price sensibility using the Perpetuity growth approach for the TV</t>
  </si>
  <si>
    <t>Non-controlling Interest</t>
  </si>
  <si>
    <t>Off-balance sheet Items</t>
  </si>
  <si>
    <t>Investments in associates (at fair value)</t>
  </si>
  <si>
    <t>Equity Value</t>
  </si>
  <si>
    <t>Equity Value per Share</t>
  </si>
  <si>
    <t>Equity Value per Share (Exit Multiple vs WACC)</t>
  </si>
  <si>
    <t>% premium / (discount) over market share price</t>
  </si>
  <si>
    <t>This data table analizes stock price sensibility using the Multiple approach for the TV</t>
  </si>
  <si>
    <t>Beta Calculations</t>
  </si>
  <si>
    <r>
      <t xml:space="preserve">Observed </t>
    </r>
    <r>
      <rPr>
        <sz val="11"/>
        <color theme="1"/>
        <rFont val="Calibri"/>
        <family val="2"/>
      </rPr>
      <t>β</t>
    </r>
  </si>
  <si>
    <t>Price /share</t>
  </si>
  <si>
    <t># Shares Dil.</t>
  </si>
  <si>
    <t>Market Cap</t>
  </si>
  <si>
    <t xml:space="preserve">Cash </t>
  </si>
  <si>
    <t xml:space="preserve">Debt </t>
  </si>
  <si>
    <t>Tax Rate</t>
  </si>
  <si>
    <t>Delevered β</t>
  </si>
  <si>
    <t>Reitmans</t>
  </si>
  <si>
    <t>H&amp;M</t>
  </si>
  <si>
    <t>Zara group</t>
  </si>
  <si>
    <t>Forever 21</t>
  </si>
  <si>
    <t>Industry Avg Delevered β</t>
  </si>
  <si>
    <t>Company Industry based β (Re-levered)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</si>
</sst>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7" formatCode="&quot;$&quot;#,##0.00_);\(&quot;$&quot;#,##0.00\)"/>
    <numFmt numFmtId="164" formatCode="_-&quot;$&quot;* #,##0.00_-;\-&quot;$&quot;* #,##0.00_-;_-&quot;$&quot;* &quot;-&quot;??_-;_-@_-"/>
    <numFmt numFmtId="165" formatCode="&quot; &quot;"/>
    <numFmt numFmtId="166" formatCode="&quot;$&quot;#,##0.00_);\(&quot;$&quot;#,##0.00\);@_)"/>
    <numFmt numFmtId="167" formatCode="#,##0.0_);\(#,##0.0\);@_)"/>
    <numFmt numFmtId="168" formatCode="\•\ @"/>
    <numFmt numFmtId="169" formatCode="0\P_);\(0\P\)"/>
    <numFmt numFmtId="170" formatCode="0.0%_);\(0.0%\);@_)"/>
    <numFmt numFmtId="171" formatCode="#,##0.0_);\(#,##0.0\)"/>
    <numFmt numFmtId="172" formatCode="0.0%"/>
    <numFmt numFmtId="173" formatCode="0.00%_);\(0.00%\);@_)"/>
    <numFmt numFmtId="174" formatCode="0.0\x_);\(0.0\x\);@_)"/>
    <numFmt numFmtId="175" formatCode="0000\A_)"/>
    <numFmt numFmtId="176" formatCode="0\A;[Red]0\A"/>
    <numFmt numFmtId="177" formatCode="&quot;$&quot;#,##0.0_);\(&quot;$&quot;#,##0.0\)"/>
    <numFmt numFmtId="178" formatCode="0000\A"/>
    <numFmt numFmtId="179" formatCode="#,##0.00_);\(#,##0.00\);@_)"/>
    <numFmt numFmtId="180" formatCode="0.0%;\(0.0%\)"/>
    <numFmt numFmtId="181" formatCode="0.0%;\ \(0.0%\)"/>
    <numFmt numFmtId="182" formatCode="#,##0.000_);\(#,##0.000\);@_)"/>
    <numFmt numFmtId="183" formatCode="#,##0.000_);\(#,##0.000\)"/>
    <numFmt numFmtId="184" formatCode="_(* #,##0.0_);_(* \(#,##0.0\);_(* &quot;-&quot;?_);_(@_)"/>
    <numFmt numFmtId="185" formatCode="_(* #,##0.00_);_(* \(#,##0.00\);_(* &quot;-&quot;?_);_(@_)"/>
  </numFmts>
  <fonts count="53" x14ac:knownFonts="1">
    <font>
      <sz val="11"/>
      <color theme="1"/>
      <name val="Calibri"/>
      <family val="2"/>
      <scheme val="minor"/>
    </font>
    <font>
      <sz val="11"/>
      <color theme="1"/>
      <name val="Calibri"/>
      <family val="2"/>
      <scheme val="minor"/>
    </font>
    <font>
      <b/>
      <sz val="11"/>
      <color theme="1"/>
      <name val="Calibri"/>
      <family val="2"/>
      <scheme val="minor"/>
    </font>
    <font>
      <i/>
      <sz val="8"/>
      <color rgb="FFFF0000"/>
      <name val="Calibri"/>
      <family val="2"/>
      <scheme val="minor"/>
    </font>
    <font>
      <b/>
      <sz val="18"/>
      <color theme="1"/>
      <name val="Calibri"/>
      <family val="2"/>
      <scheme val="minor"/>
    </font>
    <font>
      <sz val="10"/>
      <name val="Calibri"/>
      <family val="2"/>
      <scheme val="minor"/>
    </font>
    <font>
      <sz val="10"/>
      <color theme="1"/>
      <name val="Calibri"/>
      <family val="2"/>
      <scheme val="minor"/>
    </font>
    <font>
      <b/>
      <u/>
      <sz val="11"/>
      <color theme="1"/>
      <name val="Calibri"/>
      <family val="2"/>
      <scheme val="minor"/>
    </font>
    <font>
      <b/>
      <sz val="11"/>
      <color indexed="9"/>
      <name val="Calibri"/>
      <family val="2"/>
      <scheme val="minor"/>
    </font>
    <font>
      <sz val="11"/>
      <color rgb="FF000000"/>
      <name val="Calibri"/>
      <family val="2"/>
      <scheme val="minor"/>
    </font>
    <font>
      <sz val="11"/>
      <color indexed="12"/>
      <name val="Calibri"/>
      <family val="2"/>
      <scheme val="minor"/>
    </font>
    <font>
      <sz val="10"/>
      <color rgb="FF000000"/>
      <name val="Calibri"/>
      <family val="2"/>
      <scheme val="minor"/>
    </font>
    <font>
      <sz val="11"/>
      <color rgb="FF0000FF"/>
      <name val="Calibri"/>
      <family val="2"/>
      <scheme val="minor"/>
    </font>
    <font>
      <sz val="11"/>
      <color rgb="FF008000"/>
      <name val="Calibri"/>
      <family val="2"/>
      <scheme val="minor"/>
    </font>
    <font>
      <sz val="11"/>
      <name val="Calibri"/>
      <family val="2"/>
      <scheme val="minor"/>
    </font>
    <font>
      <b/>
      <sz val="11"/>
      <color rgb="FF000000"/>
      <name val="Calibri"/>
      <family val="2"/>
      <scheme val="minor"/>
    </font>
    <font>
      <sz val="11"/>
      <color rgb="FFFFFFFF"/>
      <name val="Calibri"/>
      <family val="2"/>
      <scheme val="minor"/>
    </font>
    <font>
      <b/>
      <sz val="11"/>
      <color rgb="FFC00000"/>
      <name val="Calibri"/>
      <family val="2"/>
      <scheme val="minor"/>
    </font>
    <font>
      <sz val="11"/>
      <color rgb="FFC00000"/>
      <name val="Calibri"/>
      <family val="2"/>
      <scheme val="minor"/>
    </font>
    <font>
      <sz val="13"/>
      <color theme="1"/>
      <name val="Calibri"/>
      <family val="2"/>
      <scheme val="minor"/>
    </font>
    <font>
      <b/>
      <sz val="12"/>
      <color rgb="FF008000"/>
      <name val="Calibri"/>
      <family val="2"/>
      <scheme val="minor"/>
    </font>
    <font>
      <sz val="12"/>
      <color theme="1"/>
      <name val="Calibri"/>
      <family val="2"/>
      <scheme val="minor"/>
    </font>
    <font>
      <sz val="12"/>
      <name val="Calibri"/>
      <family val="2"/>
      <scheme val="minor"/>
    </font>
    <font>
      <b/>
      <sz val="14"/>
      <color indexed="9"/>
      <name val="Calibri"/>
      <family val="2"/>
      <scheme val="minor"/>
    </font>
    <font>
      <b/>
      <sz val="12"/>
      <color indexed="9"/>
      <name val="Calibri"/>
      <family val="2"/>
      <scheme val="minor"/>
    </font>
    <font>
      <b/>
      <sz val="10"/>
      <color indexed="9"/>
      <name val="Calibri"/>
      <family val="2"/>
      <scheme val="minor"/>
    </font>
    <font>
      <b/>
      <sz val="11"/>
      <color rgb="FF0000FF"/>
      <name val="Calibri"/>
      <family val="2"/>
      <scheme val="minor"/>
    </font>
    <font>
      <b/>
      <sz val="11"/>
      <color rgb="FF008000"/>
      <name val="Calibri"/>
      <family val="2"/>
      <scheme val="minor"/>
    </font>
    <font>
      <sz val="11"/>
      <color indexed="8"/>
      <name val="Calibri"/>
      <family val="2"/>
      <scheme val="minor"/>
    </font>
    <font>
      <b/>
      <sz val="12"/>
      <color theme="1"/>
      <name val="Calibri"/>
      <family val="2"/>
      <scheme val="minor"/>
    </font>
    <font>
      <i/>
      <sz val="8"/>
      <color theme="1"/>
      <name val="Calibri"/>
      <family val="2"/>
      <scheme val="minor"/>
    </font>
    <font>
      <b/>
      <sz val="9"/>
      <color indexed="81"/>
      <name val="Tahoma"/>
      <family val="2"/>
    </font>
    <font>
      <sz val="9"/>
      <color indexed="81"/>
      <name val="Tahoma"/>
      <family val="2"/>
    </font>
    <font>
      <i/>
      <sz val="11"/>
      <color theme="1"/>
      <name val="Calibri"/>
      <family val="2"/>
      <scheme val="minor"/>
    </font>
    <font>
      <b/>
      <sz val="11"/>
      <color indexed="17"/>
      <name val="Calibri"/>
      <family val="2"/>
      <scheme val="minor"/>
    </font>
    <font>
      <u/>
      <sz val="11"/>
      <color theme="1"/>
      <name val="Calibri"/>
      <family val="2"/>
      <scheme val="minor"/>
    </font>
    <font>
      <i/>
      <sz val="9"/>
      <color rgb="FF008000"/>
      <name val="Calibri"/>
      <family val="2"/>
      <scheme val="minor"/>
    </font>
    <font>
      <sz val="11"/>
      <color rgb="FF00B050"/>
      <name val="Calibri"/>
      <family val="2"/>
      <scheme val="minor"/>
    </font>
    <font>
      <sz val="8"/>
      <color rgb="FFFF0000"/>
      <name val="Calibri"/>
      <family val="2"/>
      <scheme val="minor"/>
    </font>
    <font>
      <b/>
      <sz val="11"/>
      <color indexed="8"/>
      <name val="Calibri"/>
      <family val="2"/>
      <scheme val="minor"/>
    </font>
    <font>
      <sz val="12"/>
      <color indexed="8"/>
      <name val="Calibri"/>
      <family val="2"/>
      <scheme val="minor"/>
    </font>
    <font>
      <sz val="12"/>
      <color rgb="FF000000"/>
      <name val="Calibri"/>
      <family val="2"/>
      <scheme val="minor"/>
    </font>
    <font>
      <sz val="12"/>
      <color rgb="FF0000FF"/>
      <name val="Calibri"/>
      <family val="2"/>
      <scheme val="minor"/>
    </font>
    <font>
      <sz val="10"/>
      <color rgb="FF0000FF"/>
      <name val="Calibri"/>
      <family val="2"/>
      <scheme val="minor"/>
    </font>
    <font>
      <sz val="9"/>
      <name val="Calibri"/>
      <family val="2"/>
      <scheme val="minor"/>
    </font>
    <font>
      <i/>
      <sz val="9"/>
      <color theme="1"/>
      <name val="Calibri"/>
      <family val="2"/>
      <scheme val="minor"/>
    </font>
    <font>
      <b/>
      <sz val="10"/>
      <color rgb="FF000000"/>
      <name val="Calibri"/>
      <family val="2"/>
      <scheme val="minor"/>
    </font>
    <font>
      <sz val="9"/>
      <color rgb="FF0000FF"/>
      <name val="Calibri"/>
      <family val="2"/>
      <scheme val="minor"/>
    </font>
    <font>
      <vertAlign val="superscript"/>
      <sz val="11"/>
      <color theme="1"/>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sz val="11"/>
      <color theme="1"/>
      <name val="Calibri"/>
      <family val="2"/>
    </font>
  </fonts>
  <fills count="10">
    <fill>
      <patternFill patternType="none"/>
    </fill>
    <fill>
      <patternFill patternType="gray125"/>
    </fill>
    <fill>
      <patternFill patternType="solid">
        <fgColor theme="4" tint="-0.249977111117893"/>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32">
    <border>
      <left/>
      <right/>
      <top/>
      <bottom/>
      <diagonal/>
    </border>
    <border>
      <left/>
      <right/>
      <top/>
      <bottom style="thin">
        <color rgb="FF000000"/>
      </bottom>
      <diagonal/>
    </border>
    <border>
      <left/>
      <right/>
      <top/>
      <bottom style="medium">
        <color indexed="64"/>
      </bottom>
      <diagonal/>
    </border>
    <border>
      <left style="thin">
        <color rgb="FF000000"/>
      </left>
      <right/>
      <top style="medium">
        <color indexed="64"/>
      </top>
      <bottom/>
      <diagonal/>
    </border>
    <border>
      <left/>
      <right style="thin">
        <color indexed="8"/>
      </right>
      <top style="medium">
        <color indexed="64"/>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indexed="8"/>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8"/>
      </right>
      <top/>
      <bottom/>
      <diagonal/>
    </border>
    <border>
      <left/>
      <right/>
      <top style="thin">
        <color indexed="64"/>
      </top>
      <bottom style="thin">
        <color rgb="FF000000"/>
      </bottom>
      <diagonal/>
    </border>
    <border>
      <left/>
      <right/>
      <top style="thin">
        <color indexed="64"/>
      </top>
      <bottom/>
      <diagonal/>
    </border>
    <border>
      <left style="thin">
        <color rgb="FF000000"/>
      </left>
      <right/>
      <top style="thin">
        <color rgb="FF000000"/>
      </top>
      <bottom style="thin">
        <color indexed="64"/>
      </bottom>
      <diagonal/>
    </border>
    <border>
      <left/>
      <right/>
      <top style="thin">
        <color indexed="8"/>
      </top>
      <bottom/>
      <diagonal/>
    </border>
    <border>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77">
    <xf numFmtId="0" fontId="0" fillId="0" borderId="0" xfId="0"/>
    <xf numFmtId="0" fontId="3" fillId="0" borderId="0" xfId="0" applyFont="1"/>
    <xf numFmtId="0" fontId="4" fillId="0" borderId="1" xfId="0" applyFont="1" applyBorder="1"/>
    <xf numFmtId="0" fontId="5" fillId="0" borderId="1" xfId="0" applyFont="1" applyFill="1" applyBorder="1"/>
    <xf numFmtId="0" fontId="6" fillId="0" borderId="1" xfId="0" applyFont="1" applyBorder="1"/>
    <xf numFmtId="0" fontId="6" fillId="0" borderId="0" xfId="0" applyFont="1"/>
    <xf numFmtId="0" fontId="7" fillId="0" borderId="0" xfId="0" applyFont="1" applyAlignment="1">
      <alignment horizontal="left" indent="1"/>
    </xf>
    <xf numFmtId="0" fontId="3" fillId="0" borderId="0" xfId="0" applyNumberFormat="1" applyFont="1" applyFill="1" applyBorder="1" applyAlignment="1"/>
    <xf numFmtId="0" fontId="8" fillId="2" borderId="2" xfId="0" applyFont="1" applyFill="1" applyBorder="1"/>
    <xf numFmtId="0" fontId="6" fillId="0" borderId="0" xfId="0" applyFont="1" applyBorder="1"/>
    <xf numFmtId="0" fontId="9" fillId="0" borderId="3" xfId="0" applyFont="1" applyBorder="1" applyAlignment="1">
      <alignment horizontal="center" vertical="center"/>
    </xf>
    <xf numFmtId="0" fontId="10" fillId="3" borderId="0" xfId="0" applyNumberFormat="1" applyFont="1" applyFill="1" applyBorder="1" applyAlignment="1" applyProtection="1">
      <protection locked="0"/>
    </xf>
    <xf numFmtId="0" fontId="11" fillId="3" borderId="4" xfId="0" applyNumberFormat="1" applyFont="1" applyFill="1" applyBorder="1" applyAlignment="1"/>
    <xf numFmtId="0" fontId="11" fillId="0" borderId="0" xfId="0" applyFont="1" applyBorder="1"/>
    <xf numFmtId="0" fontId="11" fillId="0" borderId="0" xfId="0" applyFont="1"/>
    <xf numFmtId="0" fontId="9" fillId="0" borderId="5" xfId="0" applyFont="1" applyBorder="1"/>
    <xf numFmtId="0" fontId="12" fillId="4" borderId="0" xfId="0" applyNumberFormat="1" applyFont="1" applyFill="1" applyBorder="1" applyAlignment="1" applyProtection="1">
      <alignment horizontal="left"/>
      <protection locked="0"/>
    </xf>
    <xf numFmtId="0" fontId="11" fillId="0" borderId="6" xfId="0" applyFont="1" applyBorder="1"/>
    <xf numFmtId="14" fontId="12" fillId="4" borderId="0" xfId="0" applyNumberFormat="1" applyFont="1" applyFill="1" applyBorder="1" applyAlignment="1" applyProtection="1">
      <alignment horizontal="left"/>
      <protection locked="0"/>
    </xf>
    <xf numFmtId="14" fontId="12" fillId="3" borderId="0" xfId="0" applyNumberFormat="1" applyFont="1" applyFill="1" applyBorder="1" applyAlignment="1" applyProtection="1">
      <alignment horizontal="left"/>
      <protection locked="0"/>
    </xf>
    <xf numFmtId="165" fontId="0" fillId="0" borderId="7" xfId="0" applyNumberFormat="1" applyFont="1" applyBorder="1"/>
    <xf numFmtId="166" fontId="12" fillId="4" borderId="8" xfId="0" applyNumberFormat="1" applyFont="1" applyFill="1" applyBorder="1" applyAlignment="1" applyProtection="1">
      <alignment horizontal="left"/>
      <protection locked="0"/>
    </xf>
    <xf numFmtId="0" fontId="11" fillId="0" borderId="9" xfId="0" applyFont="1" applyBorder="1"/>
    <xf numFmtId="0" fontId="11" fillId="0" borderId="1" xfId="0" applyFont="1" applyBorder="1"/>
    <xf numFmtId="0" fontId="11" fillId="0" borderId="1" xfId="0" applyFont="1" applyFill="1" applyBorder="1"/>
    <xf numFmtId="0" fontId="9" fillId="0" borderId="10" xfId="0" quotePrefix="1" applyFont="1" applyBorder="1"/>
    <xf numFmtId="0" fontId="11" fillId="0" borderId="0" xfId="0" applyFont="1" applyFill="1" applyBorder="1"/>
    <xf numFmtId="0" fontId="11" fillId="0" borderId="11" xfId="0" applyFont="1" applyFill="1" applyBorder="1"/>
    <xf numFmtId="0" fontId="9" fillId="0" borderId="7" xfId="0" quotePrefix="1" applyFont="1" applyBorder="1"/>
    <xf numFmtId="167" fontId="12" fillId="3" borderId="10" xfId="0" applyNumberFormat="1" applyFont="1" applyFill="1" applyBorder="1"/>
    <xf numFmtId="168" fontId="9" fillId="0" borderId="12" xfId="0" applyNumberFormat="1" applyFont="1" applyFill="1" applyBorder="1" applyAlignment="1">
      <alignment horizontal="left"/>
    </xf>
    <xf numFmtId="168" fontId="9" fillId="0" borderId="11" xfId="0" applyNumberFormat="1" applyFont="1" applyBorder="1"/>
    <xf numFmtId="167" fontId="9" fillId="0" borderId="10" xfId="0" applyNumberFormat="1" applyFont="1" applyBorder="1"/>
    <xf numFmtId="167" fontId="13" fillId="0" borderId="13" xfId="0" applyNumberFormat="1" applyFont="1" applyBorder="1"/>
    <xf numFmtId="168" fontId="9" fillId="0" borderId="14" xfId="0" applyNumberFormat="1" applyFont="1" applyFill="1" applyBorder="1" applyAlignment="1">
      <alignment horizontal="left"/>
    </xf>
    <xf numFmtId="168" fontId="9" fillId="0" borderId="15" xfId="0" applyNumberFormat="1" applyFont="1" applyBorder="1"/>
    <xf numFmtId="0" fontId="11" fillId="0" borderId="12" xfId="0" applyFont="1" applyFill="1" applyBorder="1"/>
    <xf numFmtId="0" fontId="9" fillId="0" borderId="13" xfId="0" applyFont="1" applyBorder="1"/>
    <xf numFmtId="0" fontId="9" fillId="0" borderId="14" xfId="0" applyFont="1" applyFill="1" applyBorder="1"/>
    <xf numFmtId="0" fontId="9" fillId="0" borderId="15" xfId="0" applyFont="1" applyBorder="1"/>
    <xf numFmtId="0" fontId="0" fillId="0" borderId="0" xfId="0" applyFont="1"/>
    <xf numFmtId="0" fontId="14" fillId="0" borderId="0" xfId="0" applyFont="1" applyFill="1"/>
    <xf numFmtId="0" fontId="9" fillId="0" borderId="7" xfId="0" applyFont="1" applyBorder="1"/>
    <xf numFmtId="0" fontId="9" fillId="0" borderId="1" xfId="0" applyFont="1" applyFill="1" applyBorder="1"/>
    <xf numFmtId="0" fontId="0" fillId="0" borderId="9" xfId="0" applyFont="1" applyBorder="1"/>
    <xf numFmtId="0" fontId="9" fillId="0" borderId="0" xfId="0" applyFont="1" applyBorder="1"/>
    <xf numFmtId="0" fontId="9" fillId="0" borderId="0" xfId="0" applyFont="1" applyFill="1" applyBorder="1"/>
    <xf numFmtId="0" fontId="15" fillId="5" borderId="5" xfId="0" applyFont="1" applyFill="1" applyBorder="1"/>
    <xf numFmtId="0" fontId="16" fillId="5" borderId="0" xfId="0" applyFont="1" applyFill="1" applyBorder="1"/>
    <xf numFmtId="0" fontId="16" fillId="5" borderId="6" xfId="0" applyFont="1" applyFill="1" applyBorder="1"/>
    <xf numFmtId="0" fontId="9" fillId="5" borderId="5" xfId="0" applyFont="1" applyFill="1" applyBorder="1"/>
    <xf numFmtId="0" fontId="17" fillId="6" borderId="16" xfId="0" applyFont="1" applyFill="1" applyBorder="1" applyProtection="1">
      <protection locked="0"/>
    </xf>
    <xf numFmtId="0" fontId="0" fillId="0" borderId="6" xfId="0" applyFont="1" applyBorder="1"/>
    <xf numFmtId="0" fontId="18" fillId="5" borderId="0" xfId="0" applyFont="1" applyFill="1" applyBorder="1" applyAlignment="1">
      <alignment wrapText="1"/>
    </xf>
    <xf numFmtId="0" fontId="14" fillId="5" borderId="6" xfId="0" applyFont="1" applyFill="1" applyBorder="1"/>
    <xf numFmtId="0" fontId="3" fillId="0" borderId="17" xfId="0" applyNumberFormat="1" applyFont="1" applyFill="1" applyBorder="1" applyAlignment="1"/>
    <xf numFmtId="0" fontId="9" fillId="0" borderId="1" xfId="0" applyFont="1" applyBorder="1" applyAlignment="1">
      <alignment horizontal="centerContinuous" wrapText="1"/>
    </xf>
    <xf numFmtId="0" fontId="9" fillId="0" borderId="1" xfId="0" applyFont="1" applyFill="1" applyBorder="1" applyAlignment="1">
      <alignment horizontal="centerContinuous"/>
    </xf>
    <xf numFmtId="0" fontId="0" fillId="0" borderId="9" xfId="0" applyFont="1" applyBorder="1" applyAlignment="1">
      <alignment horizontal="centerContinuous"/>
    </xf>
    <xf numFmtId="0" fontId="11" fillId="0" borderId="0" xfId="0" applyNumberFormat="1" applyFont="1" applyFill="1" applyBorder="1" applyAlignment="1"/>
    <xf numFmtId="0" fontId="5" fillId="0" borderId="0" xfId="0" applyFont="1" applyFill="1"/>
    <xf numFmtId="0" fontId="19" fillId="0" borderId="1" xfId="0" applyFont="1" applyBorder="1"/>
    <xf numFmtId="0" fontId="20" fillId="0" borderId="0" xfId="0" applyFont="1" applyBorder="1"/>
    <xf numFmtId="0" fontId="21" fillId="0" borderId="0" xfId="0" applyFont="1"/>
    <xf numFmtId="0" fontId="21" fillId="0" borderId="0" xfId="0" applyFont="1" applyBorder="1"/>
    <xf numFmtId="0" fontId="22" fillId="0" borderId="0" xfId="0" applyFont="1" applyFill="1" applyBorder="1"/>
    <xf numFmtId="0" fontId="21" fillId="0" borderId="1" xfId="0" applyFont="1" applyBorder="1"/>
    <xf numFmtId="0" fontId="23" fillId="2" borderId="2" xfId="0" applyFont="1" applyFill="1" applyBorder="1"/>
    <xf numFmtId="0" fontId="24" fillId="0" borderId="0" xfId="0" applyFont="1" applyFill="1" applyBorder="1"/>
    <xf numFmtId="0" fontId="25" fillId="0" borderId="0" xfId="0" applyFont="1" applyFill="1" applyBorder="1"/>
    <xf numFmtId="0" fontId="21" fillId="0" borderId="0" xfId="0" applyFont="1" applyFill="1"/>
    <xf numFmtId="0" fontId="0" fillId="0" borderId="1" xfId="0" applyFont="1" applyBorder="1" applyAlignment="1">
      <alignment horizontal="right"/>
    </xf>
    <xf numFmtId="0" fontId="26" fillId="3" borderId="13" xfId="0" applyFont="1" applyFill="1" applyBorder="1" applyProtection="1">
      <protection locked="0"/>
    </xf>
    <xf numFmtId="0" fontId="21" fillId="0" borderId="7" xfId="0" applyFont="1" applyBorder="1"/>
    <xf numFmtId="0" fontId="0" fillId="0" borderId="1" xfId="0" applyFont="1" applyBorder="1"/>
    <xf numFmtId="0" fontId="0" fillId="0" borderId="0" xfId="0" applyBorder="1"/>
    <xf numFmtId="0" fontId="0" fillId="0" borderId="1" xfId="0" applyBorder="1"/>
    <xf numFmtId="0" fontId="0" fillId="0" borderId="18" xfId="0" applyBorder="1"/>
    <xf numFmtId="0" fontId="0" fillId="0" borderId="19" xfId="0" applyBorder="1"/>
    <xf numFmtId="0" fontId="17" fillId="7" borderId="10" xfId="0" applyFont="1" applyFill="1" applyBorder="1"/>
    <xf numFmtId="0" fontId="0" fillId="7" borderId="14" xfId="0" applyFill="1" applyBorder="1"/>
    <xf numFmtId="0" fontId="0" fillId="7" borderId="12" xfId="0" applyFill="1" applyBorder="1"/>
    <xf numFmtId="0" fontId="0" fillId="0" borderId="6" xfId="0" applyBorder="1"/>
    <xf numFmtId="0" fontId="0" fillId="0" borderId="13" xfId="0" applyFont="1" applyBorder="1"/>
    <xf numFmtId="0" fontId="0" fillId="0" borderId="14" xfId="0" applyFont="1" applyBorder="1"/>
    <xf numFmtId="0" fontId="0" fillId="0" borderId="12" xfId="0" applyFont="1" applyBorder="1"/>
    <xf numFmtId="0" fontId="2" fillId="7" borderId="10" xfId="0" applyFont="1" applyFill="1" applyBorder="1" applyAlignment="1">
      <alignment horizontal="centerContinuous"/>
    </xf>
    <xf numFmtId="0" fontId="2" fillId="7" borderId="14" xfId="0" applyFont="1" applyFill="1" applyBorder="1" applyAlignment="1">
      <alignment horizontal="centerContinuous"/>
    </xf>
    <xf numFmtId="0" fontId="2" fillId="0" borderId="13" xfId="0" applyFont="1" applyBorder="1" applyAlignment="1">
      <alignment horizontal="centerContinuous"/>
    </xf>
    <xf numFmtId="0" fontId="2" fillId="0" borderId="14" xfId="0" applyFont="1" applyBorder="1" applyAlignment="1">
      <alignment horizontal="centerContinuous"/>
    </xf>
    <xf numFmtId="0" fontId="2" fillId="0" borderId="1" xfId="0" applyFont="1" applyBorder="1"/>
    <xf numFmtId="169" fontId="27" fillId="7" borderId="20" xfId="0" applyNumberFormat="1" applyFont="1" applyFill="1" applyBorder="1"/>
    <xf numFmtId="169" fontId="27" fillId="7" borderId="14" xfId="0" applyNumberFormat="1" applyFont="1" applyFill="1" applyBorder="1"/>
    <xf numFmtId="169" fontId="27" fillId="0" borderId="14" xfId="0" applyNumberFormat="1" applyFont="1" applyBorder="1"/>
    <xf numFmtId="0" fontId="7" fillId="0" borderId="6" xfId="0" applyFont="1" applyBorder="1" applyAlignment="1">
      <alignment horizontal="left"/>
    </xf>
    <xf numFmtId="0" fontId="7" fillId="0" borderId="0" xfId="0" applyFont="1" applyBorder="1" applyAlignment="1">
      <alignment horizontal="left"/>
    </xf>
    <xf numFmtId="170" fontId="9" fillId="7" borderId="0" xfId="0" applyNumberFormat="1" applyFont="1" applyFill="1" applyBorder="1"/>
    <xf numFmtId="170" fontId="12" fillId="3" borderId="0" xfId="0" applyNumberFormat="1" applyFont="1" applyFill="1" applyBorder="1" applyProtection="1">
      <protection locked="0"/>
    </xf>
    <xf numFmtId="170" fontId="10" fillId="4" borderId="21" xfId="0" applyNumberFormat="1" applyFont="1" applyFill="1" applyBorder="1" applyAlignment="1" applyProtection="1">
      <protection locked="0"/>
    </xf>
    <xf numFmtId="0" fontId="28" fillId="0" borderId="0" xfId="0" applyNumberFormat="1" applyFont="1" applyFill="1" applyBorder="1" applyAlignment="1"/>
    <xf numFmtId="0" fontId="0" fillId="0" borderId="0" xfId="0" applyFont="1" applyBorder="1"/>
    <xf numFmtId="170" fontId="12" fillId="3" borderId="0" xfId="0" applyNumberFormat="1" applyFont="1" applyFill="1" applyProtection="1">
      <protection locked="0"/>
    </xf>
    <xf numFmtId="170" fontId="12" fillId="7" borderId="0" xfId="0" applyNumberFormat="1" applyFont="1" applyFill="1" applyBorder="1"/>
    <xf numFmtId="170" fontId="12" fillId="0" borderId="0" xfId="0" applyNumberFormat="1" applyFont="1"/>
    <xf numFmtId="170" fontId="12" fillId="0" borderId="0" xfId="0" applyNumberFormat="1" applyFont="1" applyBorder="1"/>
    <xf numFmtId="171" fontId="9" fillId="7" borderId="22" xfId="0" applyNumberFormat="1" applyFont="1" applyFill="1" applyBorder="1"/>
    <xf numFmtId="167" fontId="12" fillId="3" borderId="22" xfId="0" applyNumberFormat="1" applyFont="1" applyFill="1" applyBorder="1" applyProtection="1">
      <protection locked="0"/>
    </xf>
    <xf numFmtId="171" fontId="9" fillId="7" borderId="0" xfId="0" applyNumberFormat="1" applyFont="1" applyFill="1" applyBorder="1"/>
    <xf numFmtId="167" fontId="12" fillId="3" borderId="0" xfId="0" applyNumberFormat="1" applyFont="1" applyFill="1" applyBorder="1" applyProtection="1">
      <protection locked="0"/>
    </xf>
    <xf numFmtId="172" fontId="12" fillId="7" borderId="0" xfId="0" applyNumberFormat="1" applyFont="1" applyFill="1" applyBorder="1"/>
    <xf numFmtId="172" fontId="12" fillId="7" borderId="1" xfId="0" applyNumberFormat="1" applyFont="1" applyFill="1" applyBorder="1"/>
    <xf numFmtId="172" fontId="12" fillId="0" borderId="0" xfId="0" applyNumberFormat="1" applyFont="1" applyBorder="1"/>
    <xf numFmtId="170" fontId="9" fillId="7" borderId="12" xfId="0" applyNumberFormat="1" applyFont="1" applyFill="1" applyBorder="1"/>
    <xf numFmtId="172" fontId="12" fillId="3" borderId="22" xfId="0" applyNumberFormat="1" applyFont="1" applyFill="1" applyBorder="1" applyProtection="1">
      <protection locked="0"/>
    </xf>
    <xf numFmtId="172" fontId="12" fillId="3" borderId="0" xfId="0" applyNumberFormat="1" applyFont="1" applyFill="1" applyBorder="1" applyProtection="1">
      <protection locked="0"/>
    </xf>
    <xf numFmtId="172" fontId="12" fillId="3" borderId="0" xfId="0" applyNumberFormat="1" applyFont="1" applyFill="1" applyProtection="1">
      <protection locked="0"/>
    </xf>
    <xf numFmtId="0" fontId="0" fillId="7" borderId="0" xfId="0" applyFill="1" applyBorder="1"/>
    <xf numFmtId="172" fontId="12" fillId="3" borderId="12" xfId="0" applyNumberFormat="1" applyFont="1" applyFill="1" applyBorder="1" applyProtection="1">
      <protection locked="0"/>
    </xf>
    <xf numFmtId="170" fontId="12" fillId="3" borderId="12" xfId="0" applyNumberFormat="1" applyFont="1" applyFill="1" applyBorder="1" applyProtection="1">
      <protection locked="0"/>
    </xf>
    <xf numFmtId="0" fontId="0" fillId="0" borderId="0" xfId="0" applyAlignment="1">
      <alignment wrapText="1"/>
    </xf>
    <xf numFmtId="172" fontId="0" fillId="7" borderId="12" xfId="0" applyNumberFormat="1" applyFill="1" applyBorder="1"/>
    <xf numFmtId="170" fontId="12" fillId="3" borderId="22" xfId="0" applyNumberFormat="1" applyFont="1" applyFill="1" applyBorder="1" applyProtection="1">
      <protection locked="0"/>
    </xf>
    <xf numFmtId="0" fontId="0" fillId="0" borderId="0" xfId="0" applyProtection="1">
      <protection locked="0"/>
    </xf>
    <xf numFmtId="0" fontId="29" fillId="0" borderId="0" xfId="0" applyFont="1" applyBorder="1"/>
    <xf numFmtId="173" fontId="12" fillId="3" borderId="12" xfId="0" applyNumberFormat="1" applyFont="1" applyFill="1" applyBorder="1" applyProtection="1">
      <protection locked="0"/>
    </xf>
    <xf numFmtId="0" fontId="2" fillId="0" borderId="0" xfId="0" applyFont="1" applyBorder="1"/>
    <xf numFmtId="172" fontId="0" fillId="0" borderId="12" xfId="0" applyNumberFormat="1" applyFill="1" applyBorder="1"/>
    <xf numFmtId="174" fontId="14" fillId="7" borderId="22" xfId="0" applyNumberFormat="1" applyFont="1" applyFill="1" applyBorder="1" applyAlignment="1"/>
    <xf numFmtId="0" fontId="0" fillId="0" borderId="22" xfId="0" applyBorder="1"/>
    <xf numFmtId="174" fontId="12" fillId="3" borderId="22" xfId="0" applyNumberFormat="1" applyFont="1" applyFill="1" applyBorder="1" applyAlignment="1" applyProtection="1">
      <protection locked="0"/>
    </xf>
    <xf numFmtId="0" fontId="30" fillId="0" borderId="0" xfId="0" applyFont="1" applyBorder="1"/>
    <xf numFmtId="167" fontId="0" fillId="0" borderId="0" xfId="0" applyNumberFormat="1" applyFont="1" applyBorder="1"/>
    <xf numFmtId="9" fontId="0" fillId="0" borderId="0" xfId="0" applyNumberFormat="1" applyBorder="1"/>
    <xf numFmtId="0" fontId="30" fillId="0" borderId="23" xfId="0" applyFont="1" applyBorder="1"/>
    <xf numFmtId="0" fontId="30" fillId="0" borderId="24" xfId="0" applyFont="1" applyBorder="1"/>
    <xf numFmtId="0" fontId="30" fillId="0" borderId="25" xfId="0" applyFont="1" applyBorder="1"/>
    <xf numFmtId="0" fontId="0" fillId="0" borderId="0" xfId="0" applyFill="1" applyBorder="1"/>
    <xf numFmtId="0" fontId="0" fillId="0" borderId="26" xfId="0" applyBorder="1"/>
    <xf numFmtId="172" fontId="14" fillId="0" borderId="12" xfId="0" applyNumberFormat="1" applyFont="1" applyFill="1" applyBorder="1"/>
    <xf numFmtId="172" fontId="0" fillId="0" borderId="0" xfId="2" applyNumberFormat="1" applyFont="1" applyBorder="1"/>
    <xf numFmtId="9" fontId="21" fillId="0" borderId="0" xfId="2" applyFont="1" applyBorder="1"/>
    <xf numFmtId="0" fontId="23" fillId="2" borderId="0" xfId="0" applyFont="1" applyFill="1" applyBorder="1"/>
    <xf numFmtId="0" fontId="23" fillId="0" borderId="0" xfId="0" applyFont="1" applyFill="1" applyBorder="1"/>
    <xf numFmtId="0" fontId="33" fillId="0" borderId="6" xfId="0" applyFont="1" applyBorder="1"/>
    <xf numFmtId="0" fontId="2" fillId="0" borderId="7" xfId="0" applyFont="1" applyBorder="1" applyAlignment="1">
      <alignment horizontal="centerContinuous"/>
    </xf>
    <xf numFmtId="0" fontId="2" fillId="0" borderId="1" xfId="0" applyFont="1" applyBorder="1" applyAlignment="1">
      <alignment horizontal="centerContinuous"/>
    </xf>
    <xf numFmtId="0" fontId="2" fillId="0" borderId="9" xfId="0" applyFont="1" applyBorder="1" applyAlignment="1">
      <alignment horizontal="centerContinuous"/>
    </xf>
    <xf numFmtId="0" fontId="2" fillId="8" borderId="7" xfId="0" applyFont="1" applyFill="1" applyBorder="1" applyAlignment="1">
      <alignment horizontal="centerContinuous"/>
    </xf>
    <xf numFmtId="0" fontId="2" fillId="8" borderId="1" xfId="0" applyFont="1" applyFill="1" applyBorder="1" applyAlignment="1">
      <alignment horizontal="centerContinuous"/>
    </xf>
    <xf numFmtId="0" fontId="2" fillId="8" borderId="27" xfId="0" applyFont="1" applyFill="1" applyBorder="1" applyAlignment="1">
      <alignment horizontal="centerContinuous"/>
    </xf>
    <xf numFmtId="0" fontId="2" fillId="8" borderId="28" xfId="0" applyFont="1" applyFill="1" applyBorder="1" applyAlignment="1">
      <alignment horizontal="centerContinuous"/>
    </xf>
    <xf numFmtId="0" fontId="0" fillId="5" borderId="0" xfId="0" applyFill="1"/>
    <xf numFmtId="0" fontId="0" fillId="5" borderId="0" xfId="0" applyFill="1" applyBorder="1"/>
    <xf numFmtId="175" fontId="2" fillId="0" borderId="14" xfId="0" applyNumberFormat="1" applyFont="1" applyBorder="1"/>
    <xf numFmtId="175" fontId="27" fillId="0" borderId="14" xfId="0" applyNumberFormat="1" applyFont="1" applyBorder="1"/>
    <xf numFmtId="169" fontId="2" fillId="0" borderId="14" xfId="0" applyNumberFormat="1" applyFont="1" applyBorder="1"/>
    <xf numFmtId="0" fontId="29" fillId="5" borderId="0" xfId="0" applyFont="1" applyFill="1" applyBorder="1"/>
    <xf numFmtId="176" fontId="27" fillId="5" borderId="0" xfId="0" applyNumberFormat="1" applyFont="1" applyFill="1" applyBorder="1"/>
    <xf numFmtId="176" fontId="34" fillId="5" borderId="0" xfId="0" applyNumberFormat="1" applyFont="1" applyFill="1" applyBorder="1" applyAlignment="1"/>
    <xf numFmtId="167" fontId="9" fillId="0" borderId="0" xfId="0" applyNumberFormat="1" applyFont="1" applyBorder="1"/>
    <xf numFmtId="177" fontId="12" fillId="5" borderId="0" xfId="0" applyNumberFormat="1" applyFont="1" applyFill="1" applyBorder="1"/>
    <xf numFmtId="167" fontId="12" fillId="3" borderId="1" xfId="0" applyNumberFormat="1" applyFont="1" applyFill="1" applyBorder="1" applyProtection="1">
      <protection locked="0"/>
    </xf>
    <xf numFmtId="167" fontId="9" fillId="0" borderId="1" xfId="0" applyNumberFormat="1" applyFont="1" applyBorder="1"/>
    <xf numFmtId="171" fontId="12" fillId="5" borderId="0" xfId="0" applyNumberFormat="1" applyFont="1" applyFill="1" applyBorder="1"/>
    <xf numFmtId="0" fontId="2" fillId="0" borderId="0" xfId="0" applyFont="1" applyBorder="1" applyAlignment="1">
      <alignment horizontal="left" indent="1"/>
    </xf>
    <xf numFmtId="167" fontId="15" fillId="0" borderId="0" xfId="0" applyNumberFormat="1" applyFont="1" applyBorder="1"/>
    <xf numFmtId="0" fontId="0" fillId="0" borderId="0" xfId="0" applyBorder="1" applyAlignment="1">
      <alignment horizontal="centerContinuous"/>
    </xf>
    <xf numFmtId="167" fontId="0" fillId="0" borderId="0" xfId="0" applyNumberFormat="1" applyFont="1"/>
    <xf numFmtId="178" fontId="0" fillId="0" borderId="0" xfId="0" applyNumberFormat="1" applyBorder="1"/>
    <xf numFmtId="0" fontId="2" fillId="0" borderId="12" xfId="0" applyFont="1" applyBorder="1" applyAlignment="1">
      <alignment horizontal="left" indent="1"/>
    </xf>
    <xf numFmtId="167" fontId="15" fillId="0" borderId="12" xfId="0" applyNumberFormat="1" applyFont="1" applyBorder="1"/>
    <xf numFmtId="177" fontId="0" fillId="5" borderId="0" xfId="0" applyNumberFormat="1" applyFill="1" applyBorder="1"/>
    <xf numFmtId="167" fontId="12" fillId="0" borderId="0" xfId="0" applyNumberFormat="1" applyFont="1" applyBorder="1"/>
    <xf numFmtId="0" fontId="35" fillId="5" borderId="0" xfId="0" applyFont="1" applyFill="1" applyBorder="1"/>
    <xf numFmtId="167" fontId="0" fillId="0" borderId="0" xfId="0" applyNumberFormat="1" applyFont="1" applyFill="1" applyBorder="1" applyAlignment="1"/>
    <xf numFmtId="0" fontId="0" fillId="0" borderId="0" xfId="0" applyFont="1" applyBorder="1" applyAlignment="1">
      <alignment horizontal="left" indent="1"/>
    </xf>
    <xf numFmtId="0" fontId="15" fillId="5" borderId="0" xfId="0" applyNumberFormat="1" applyFont="1" applyFill="1" applyBorder="1" applyAlignment="1"/>
    <xf numFmtId="177" fontId="27" fillId="5" borderId="0" xfId="0" applyNumberFormat="1" applyFont="1" applyFill="1" applyBorder="1"/>
    <xf numFmtId="171" fontId="0" fillId="5" borderId="0" xfId="0" applyNumberFormat="1" applyFill="1" applyBorder="1"/>
    <xf numFmtId="0" fontId="2" fillId="0" borderId="14" xfId="0" applyFont="1" applyBorder="1" applyAlignment="1">
      <alignment horizontal="left" indent="1"/>
    </xf>
    <xf numFmtId="167" fontId="15" fillId="0" borderId="14" xfId="0" applyNumberFormat="1" applyFont="1" applyBorder="1"/>
    <xf numFmtId="177" fontId="26" fillId="0" borderId="0" xfId="0" applyNumberFormat="1" applyFont="1" applyBorder="1"/>
    <xf numFmtId="177" fontId="15" fillId="0" borderId="0" xfId="0" applyNumberFormat="1" applyFont="1" applyBorder="1"/>
    <xf numFmtId="171" fontId="12" fillId="3" borderId="0" xfId="0" applyNumberFormat="1" applyFont="1" applyFill="1" applyBorder="1" applyProtection="1">
      <protection locked="0"/>
    </xf>
    <xf numFmtId="171" fontId="9" fillId="0" borderId="0" xfId="0" applyNumberFormat="1" applyFont="1" applyBorder="1"/>
    <xf numFmtId="0" fontId="2" fillId="5" borderId="0" xfId="0" applyFont="1" applyFill="1" applyBorder="1"/>
    <xf numFmtId="177" fontId="15" fillId="5" borderId="0" xfId="0" applyNumberFormat="1" applyFont="1" applyFill="1" applyBorder="1"/>
    <xf numFmtId="167" fontId="12" fillId="5" borderId="0" xfId="0" applyNumberFormat="1" applyFont="1" applyFill="1" applyBorder="1"/>
    <xf numFmtId="174" fontId="0" fillId="0" borderId="0" xfId="0" applyNumberFormat="1" applyFont="1" applyBorder="1"/>
    <xf numFmtId="167" fontId="12" fillId="3" borderId="26" xfId="0" applyNumberFormat="1" applyFont="1" applyFill="1" applyBorder="1" applyProtection="1">
      <protection locked="0"/>
    </xf>
    <xf numFmtId="167" fontId="9" fillId="0" borderId="26" xfId="0" applyNumberFormat="1" applyFont="1" applyBorder="1"/>
    <xf numFmtId="0" fontId="2" fillId="0" borderId="0" xfId="0" applyFont="1" applyFill="1" applyBorder="1"/>
    <xf numFmtId="7" fontId="15" fillId="0" borderId="0" xfId="0" applyNumberFormat="1" applyFont="1" applyBorder="1" applyAlignment="1">
      <alignment horizontal="right"/>
    </xf>
    <xf numFmtId="170" fontId="0" fillId="0" borderId="0" xfId="0" applyNumberFormat="1" applyFont="1"/>
    <xf numFmtId="170" fontId="9" fillId="0" borderId="0" xfId="0" applyNumberFormat="1" applyFont="1"/>
    <xf numFmtId="170" fontId="13" fillId="0" borderId="0" xfId="0" applyNumberFormat="1" applyFont="1"/>
    <xf numFmtId="170" fontId="9" fillId="0" borderId="0" xfId="0" applyNumberFormat="1" applyFont="1" applyFill="1" applyBorder="1" applyAlignment="1">
      <alignment horizontal="right"/>
    </xf>
    <xf numFmtId="0" fontId="33" fillId="0" borderId="0" xfId="0" applyFont="1"/>
    <xf numFmtId="0" fontId="2" fillId="0" borderId="10" xfId="0" applyFont="1" applyBorder="1" applyAlignment="1">
      <alignment horizontal="centerContinuous"/>
    </xf>
    <xf numFmtId="0" fontId="2" fillId="0" borderId="12" xfId="0" applyFont="1" applyBorder="1" applyAlignment="1">
      <alignment horizontal="centerContinuous"/>
    </xf>
    <xf numFmtId="0" fontId="2" fillId="0" borderId="11" xfId="0" applyFont="1" applyBorder="1" applyAlignment="1">
      <alignment horizontal="centerContinuous"/>
    </xf>
    <xf numFmtId="175" fontId="2" fillId="0" borderId="29" xfId="0" applyNumberFormat="1" applyFont="1" applyBorder="1"/>
    <xf numFmtId="169" fontId="2" fillId="0" borderId="29" xfId="0" applyNumberFormat="1" applyFont="1" applyBorder="1"/>
    <xf numFmtId="167" fontId="12" fillId="3" borderId="0" xfId="0" applyNumberFormat="1" applyFont="1" applyFill="1" applyProtection="1">
      <protection locked="0"/>
    </xf>
    <xf numFmtId="167" fontId="0" fillId="0" borderId="26" xfId="0" applyNumberFormat="1" applyFont="1" applyBorder="1"/>
    <xf numFmtId="167" fontId="0" fillId="0" borderId="0" xfId="0" applyNumberFormat="1" applyFont="1" applyFill="1"/>
    <xf numFmtId="167" fontId="14" fillId="0" borderId="0" xfId="0" applyNumberFormat="1" applyFont="1" applyFill="1" applyBorder="1"/>
    <xf numFmtId="0" fontId="0" fillId="0" borderId="0" xfId="0" applyNumberFormat="1" applyFont="1" applyFill="1" applyBorder="1" applyAlignment="1"/>
    <xf numFmtId="167" fontId="14" fillId="0" borderId="26" xfId="0" applyNumberFormat="1" applyFont="1" applyFill="1" applyBorder="1"/>
    <xf numFmtId="177" fontId="15" fillId="0" borderId="0" xfId="0" applyNumberFormat="1" applyFont="1" applyFill="1" applyBorder="1"/>
    <xf numFmtId="167" fontId="14" fillId="3" borderId="0" xfId="0" applyNumberFormat="1" applyFont="1" applyFill="1" applyBorder="1" applyProtection="1">
      <protection locked="0"/>
    </xf>
    <xf numFmtId="167" fontId="2" fillId="0" borderId="0" xfId="0" applyNumberFormat="1" applyFont="1" applyBorder="1"/>
    <xf numFmtId="167" fontId="33" fillId="0" borderId="0" xfId="0" applyNumberFormat="1" applyFont="1"/>
    <xf numFmtId="170" fontId="0" fillId="0" borderId="0" xfId="0" applyNumberFormat="1"/>
    <xf numFmtId="176" fontId="2" fillId="0" borderId="29" xfId="0" applyNumberFormat="1" applyFont="1" applyBorder="1"/>
    <xf numFmtId="167" fontId="9" fillId="0" borderId="0" xfId="0" applyNumberFormat="1" applyFont="1" applyFill="1" applyBorder="1" applyAlignment="1"/>
    <xf numFmtId="0" fontId="9" fillId="0" borderId="0" xfId="0" applyFont="1"/>
    <xf numFmtId="0" fontId="2" fillId="0" borderId="12" xfId="0" applyFont="1" applyBorder="1"/>
    <xf numFmtId="167" fontId="2" fillId="0" borderId="12" xfId="0" applyNumberFormat="1" applyFont="1" applyBorder="1"/>
    <xf numFmtId="167" fontId="0" fillId="0" borderId="26" xfId="0" applyNumberFormat="1" applyFont="1" applyFill="1" applyBorder="1" applyAlignment="1"/>
    <xf numFmtId="0" fontId="2" fillId="0" borderId="22" xfId="0" applyFont="1" applyBorder="1" applyAlignment="1">
      <alignment horizontal="left" indent="1"/>
    </xf>
    <xf numFmtId="0" fontId="2" fillId="0" borderId="0" xfId="0" applyFont="1"/>
    <xf numFmtId="167" fontId="2" fillId="0" borderId="0" xfId="0" applyNumberFormat="1" applyFont="1"/>
    <xf numFmtId="0" fontId="29" fillId="0" borderId="1" xfId="0" applyFont="1" applyBorder="1"/>
    <xf numFmtId="0" fontId="0" fillId="0" borderId="1" xfId="0" quotePrefix="1" applyBorder="1"/>
    <xf numFmtId="179" fontId="0" fillId="0" borderId="1" xfId="0" applyNumberFormat="1" applyFont="1" applyBorder="1"/>
    <xf numFmtId="177" fontId="2" fillId="0" borderId="0" xfId="0" applyNumberFormat="1" applyFont="1" applyBorder="1"/>
    <xf numFmtId="0" fontId="0" fillId="0" borderId="0" xfId="0" applyNumberFormat="1" applyFont="1" applyFill="1" applyBorder="1" applyAlignment="1">
      <alignment horizontal="left"/>
    </xf>
    <xf numFmtId="167" fontId="13" fillId="0" borderId="0" xfId="0" applyNumberFormat="1" applyFont="1"/>
    <xf numFmtId="9" fontId="12" fillId="0" borderId="0" xfId="0" applyNumberFormat="1" applyFont="1"/>
    <xf numFmtId="167" fontId="0" fillId="0" borderId="1" xfId="0" applyNumberFormat="1" applyFont="1" applyBorder="1"/>
    <xf numFmtId="0" fontId="0" fillId="0" borderId="0" xfId="0" applyAlignment="1">
      <alignment horizontal="left"/>
    </xf>
    <xf numFmtId="0" fontId="2" fillId="0" borderId="0" xfId="0" applyFont="1" applyAlignment="1">
      <alignment horizontal="left" indent="1"/>
    </xf>
    <xf numFmtId="0" fontId="2" fillId="0" borderId="26" xfId="0" applyFont="1" applyBorder="1"/>
    <xf numFmtId="167" fontId="9" fillId="0" borderId="0" xfId="0" applyNumberFormat="1" applyFont="1"/>
    <xf numFmtId="0" fontId="0" fillId="0" borderId="0" xfId="0" quotePrefix="1" applyBorder="1"/>
    <xf numFmtId="167" fontId="12" fillId="0" borderId="0" xfId="0" applyNumberFormat="1" applyFont="1"/>
    <xf numFmtId="0" fontId="0" fillId="0" borderId="8" xfId="0" quotePrefix="1" applyNumberFormat="1" applyFont="1" applyFill="1" applyBorder="1" applyAlignment="1"/>
    <xf numFmtId="0" fontId="0" fillId="0" borderId="0" xfId="0" quotePrefix="1"/>
    <xf numFmtId="167" fontId="0" fillId="0" borderId="0" xfId="0" applyNumberFormat="1"/>
    <xf numFmtId="0" fontId="0" fillId="0" borderId="0" xfId="0" quotePrefix="1" applyFill="1" applyBorder="1"/>
    <xf numFmtId="167" fontId="2" fillId="0" borderId="22" xfId="0" applyNumberFormat="1" applyFont="1" applyBorder="1"/>
    <xf numFmtId="177" fontId="2" fillId="0" borderId="22" xfId="0" applyNumberFormat="1" applyFont="1" applyBorder="1"/>
    <xf numFmtId="172" fontId="12" fillId="3" borderId="0" xfId="2" applyNumberFormat="1" applyFont="1" applyFill="1" applyProtection="1">
      <protection locked="0"/>
    </xf>
    <xf numFmtId="177" fontId="0" fillId="0" borderId="0" xfId="0" applyNumberFormat="1" applyFont="1" applyBorder="1"/>
    <xf numFmtId="9" fontId="12" fillId="0" borderId="0" xfId="0" applyNumberFormat="1" applyFont="1" applyBorder="1"/>
    <xf numFmtId="167" fontId="13" fillId="0" borderId="0" xfId="0" applyNumberFormat="1" applyFont="1" applyBorder="1"/>
    <xf numFmtId="170" fontId="0" fillId="0" borderId="0" xfId="0" applyNumberFormat="1" applyBorder="1"/>
    <xf numFmtId="170" fontId="13" fillId="0" borderId="0" xfId="0" applyNumberFormat="1" applyFont="1" applyBorder="1"/>
    <xf numFmtId="0" fontId="0" fillId="0" borderId="0" xfId="0" applyAlignment="1">
      <alignment horizontal="left" indent="1"/>
    </xf>
    <xf numFmtId="0" fontId="33" fillId="0" borderId="22" xfId="0" applyFont="1" applyBorder="1"/>
    <xf numFmtId="170" fontId="0" fillId="0" borderId="22" xfId="0" applyNumberFormat="1" applyBorder="1"/>
    <xf numFmtId="175" fontId="2" fillId="0" borderId="22" xfId="0" applyNumberFormat="1" applyFont="1" applyBorder="1"/>
    <xf numFmtId="0" fontId="2" fillId="8" borderId="22" xfId="0" applyFont="1" applyFill="1" applyBorder="1" applyAlignment="1">
      <alignment horizontal="centerContinuous"/>
    </xf>
    <xf numFmtId="170" fontId="0" fillId="0" borderId="26" xfId="0" applyNumberFormat="1" applyBorder="1"/>
    <xf numFmtId="14" fontId="36" fillId="0" borderId="1" xfId="0" applyNumberFormat="1" applyFont="1" applyFill="1" applyBorder="1"/>
    <xf numFmtId="14" fontId="36" fillId="0" borderId="0" xfId="0" applyNumberFormat="1" applyFont="1" applyFill="1" applyBorder="1"/>
    <xf numFmtId="0" fontId="29" fillId="0" borderId="26" xfId="0" applyFont="1" applyBorder="1"/>
    <xf numFmtId="170" fontId="14" fillId="0" borderId="0" xfId="0" applyNumberFormat="1" applyFont="1" applyBorder="1"/>
    <xf numFmtId="177" fontId="12" fillId="3" borderId="0" xfId="0" applyNumberFormat="1" applyFont="1" applyFill="1" applyBorder="1" applyProtection="1">
      <protection locked="0"/>
    </xf>
    <xf numFmtId="0" fontId="0" fillId="0" borderId="0" xfId="0" applyFont="1" applyFill="1" applyBorder="1"/>
    <xf numFmtId="177" fontId="37" fillId="0" borderId="0" xfId="0" applyNumberFormat="1" applyFont="1" applyBorder="1"/>
    <xf numFmtId="0" fontId="2" fillId="0" borderId="22" xfId="0" applyFont="1" applyFill="1" applyBorder="1"/>
    <xf numFmtId="177" fontId="0" fillId="0" borderId="22" xfId="0" applyNumberFormat="1" applyFont="1" applyBorder="1"/>
    <xf numFmtId="167" fontId="0" fillId="0" borderId="22" xfId="0" applyNumberFormat="1" applyFont="1" applyBorder="1"/>
    <xf numFmtId="167" fontId="0" fillId="0" borderId="22" xfId="0" applyNumberFormat="1" applyBorder="1"/>
    <xf numFmtId="169" fontId="0" fillId="0" borderId="1" xfId="0" applyNumberFormat="1" applyBorder="1" applyAlignment="1">
      <alignment horizontal="center"/>
    </xf>
    <xf numFmtId="0" fontId="0" fillId="0" borderId="1" xfId="0" applyBorder="1" applyAlignment="1">
      <alignment horizontal="left"/>
    </xf>
    <xf numFmtId="0" fontId="0" fillId="0" borderId="1" xfId="0" applyBorder="1" applyAlignment="1">
      <alignment horizontal="centerContinuous"/>
    </xf>
    <xf numFmtId="7" fontId="0" fillId="0" borderId="0" xfId="0" applyNumberFormat="1"/>
    <xf numFmtId="180" fontId="12" fillId="3" borderId="12" xfId="0" applyNumberFormat="1" applyFont="1" applyFill="1" applyBorder="1" applyProtection="1">
      <protection locked="0"/>
    </xf>
    <xf numFmtId="181" fontId="12" fillId="3" borderId="0" xfId="0" applyNumberFormat="1" applyFont="1" applyFill="1" applyProtection="1">
      <protection locked="0"/>
    </xf>
    <xf numFmtId="169" fontId="0" fillId="0" borderId="0" xfId="0" applyNumberFormat="1" applyAlignment="1">
      <alignment horizontal="right"/>
    </xf>
    <xf numFmtId="0" fontId="0" fillId="0" borderId="0" xfId="0" applyAlignment="1">
      <alignment horizontal="right"/>
    </xf>
    <xf numFmtId="0" fontId="0" fillId="0" borderId="1" xfId="0" applyBorder="1" applyAlignment="1">
      <alignment horizontal="center"/>
    </xf>
    <xf numFmtId="0" fontId="38" fillId="0" borderId="0" xfId="0" applyFont="1"/>
    <xf numFmtId="0" fontId="7" fillId="0" borderId="0" xfId="0" applyFont="1"/>
    <xf numFmtId="0" fontId="39" fillId="0" borderId="0" xfId="0" applyNumberFormat="1" applyFont="1" applyFill="1" applyBorder="1" applyAlignment="1"/>
    <xf numFmtId="0" fontId="40" fillId="0" borderId="0" xfId="0" applyNumberFormat="1" applyFont="1" applyFill="1" applyBorder="1" applyAlignment="1"/>
    <xf numFmtId="14" fontId="13" fillId="0" borderId="0" xfId="0" applyNumberFormat="1" applyFont="1" applyFill="1" applyBorder="1" applyAlignment="1"/>
    <xf numFmtId="166" fontId="13" fillId="0" borderId="0" xfId="0" applyNumberFormat="1" applyFont="1" applyFill="1" applyBorder="1" applyAlignment="1"/>
    <xf numFmtId="170" fontId="28" fillId="0" borderId="0" xfId="0" applyNumberFormat="1" applyFont="1" applyFill="1" applyBorder="1" applyAlignment="1"/>
    <xf numFmtId="166" fontId="13" fillId="0" borderId="0" xfId="0" applyNumberFormat="1" applyFont="1" applyBorder="1"/>
    <xf numFmtId="167" fontId="13" fillId="0" borderId="0" xfId="0" applyNumberFormat="1" applyFont="1" applyFill="1" applyBorder="1" applyAlignment="1"/>
    <xf numFmtId="174" fontId="13" fillId="0" borderId="0" xfId="0" applyNumberFormat="1" applyFont="1" applyFill="1" applyBorder="1" applyAlignment="1"/>
    <xf numFmtId="170" fontId="12" fillId="4" borderId="0" xfId="0" applyNumberFormat="1" applyFont="1" applyFill="1" applyBorder="1" applyAlignment="1" applyProtection="1">
      <protection locked="0"/>
    </xf>
    <xf numFmtId="9" fontId="0" fillId="0" borderId="0" xfId="0" applyNumberFormat="1" applyFont="1" applyBorder="1"/>
    <xf numFmtId="0" fontId="14" fillId="0" borderId="0" xfId="0" applyNumberFormat="1" applyFont="1" applyFill="1" applyBorder="1" applyAlignment="1"/>
    <xf numFmtId="0" fontId="41" fillId="0" borderId="0" xfId="0" applyFont="1" applyBorder="1"/>
    <xf numFmtId="0" fontId="6" fillId="0" borderId="26" xfId="0" applyFont="1" applyBorder="1" applyAlignment="1">
      <alignment horizontal="center"/>
    </xf>
    <xf numFmtId="179" fontId="9" fillId="0" borderId="0" xfId="0" applyNumberFormat="1" applyFont="1" applyBorder="1"/>
    <xf numFmtId="179" fontId="42" fillId="3" borderId="0" xfId="0" applyNumberFormat="1" applyFont="1" applyFill="1" applyAlignment="1" applyProtection="1">
      <alignment horizontal="center"/>
      <protection locked="0"/>
    </xf>
    <xf numFmtId="39" fontId="43" fillId="4" borderId="30" xfId="0" applyNumberFormat="1" applyFont="1" applyFill="1" applyBorder="1" applyAlignment="1" applyProtection="1">
      <alignment horizontal="center"/>
      <protection locked="0"/>
    </xf>
    <xf numFmtId="0" fontId="14" fillId="0" borderId="0" xfId="0" applyFont="1" applyFill="1" applyBorder="1"/>
    <xf numFmtId="39" fontId="44" fillId="0" borderId="0" xfId="0" applyNumberFormat="1" applyFont="1" applyFill="1" applyBorder="1" applyAlignment="1">
      <alignment horizontal="center"/>
    </xf>
    <xf numFmtId="39" fontId="44" fillId="9" borderId="30" xfId="0" applyNumberFormat="1" applyFont="1" applyFill="1" applyBorder="1" applyAlignment="1">
      <alignment horizontal="center"/>
    </xf>
    <xf numFmtId="170" fontId="12" fillId="4" borderId="30" xfId="0" applyNumberFormat="1" applyFont="1" applyFill="1" applyBorder="1" applyAlignment="1" applyProtection="1">
      <protection locked="0"/>
    </xf>
    <xf numFmtId="7" fontId="9" fillId="0" borderId="0" xfId="0" applyNumberFormat="1" applyFont="1" applyBorder="1"/>
    <xf numFmtId="0" fontId="33" fillId="0" borderId="0" xfId="0" applyFont="1" applyBorder="1"/>
    <xf numFmtId="0" fontId="2" fillId="0" borderId="0" xfId="0" applyFont="1" applyBorder="1" applyAlignment="1">
      <alignment horizontal="centerContinuous"/>
    </xf>
    <xf numFmtId="176" fontId="2" fillId="0" borderId="0" xfId="0" applyNumberFormat="1" applyFont="1" applyBorder="1"/>
    <xf numFmtId="169" fontId="27" fillId="0" borderId="0" xfId="0" applyNumberFormat="1" applyFont="1" applyBorder="1"/>
    <xf numFmtId="0" fontId="45" fillId="0" borderId="1" xfId="0" applyFont="1" applyBorder="1"/>
    <xf numFmtId="176" fontId="2" fillId="0" borderId="1" xfId="0" applyNumberFormat="1" applyFont="1" applyBorder="1"/>
    <xf numFmtId="14" fontId="45" fillId="0" borderId="1" xfId="0" applyNumberFormat="1" applyFont="1" applyBorder="1"/>
    <xf numFmtId="14" fontId="45" fillId="0" borderId="1" xfId="0" applyNumberFormat="1" applyFont="1" applyFill="1" applyBorder="1"/>
    <xf numFmtId="171" fontId="13" fillId="0" borderId="0" xfId="0" applyNumberFormat="1" applyFont="1" applyBorder="1"/>
    <xf numFmtId="170" fontId="9" fillId="0" borderId="1" xfId="0" applyNumberFormat="1" applyFont="1" applyBorder="1"/>
    <xf numFmtId="172" fontId="13" fillId="0" borderId="0" xfId="2" applyNumberFormat="1" applyFont="1"/>
    <xf numFmtId="0" fontId="2" fillId="0" borderId="21" xfId="0" applyNumberFormat="1" applyFont="1" applyFill="1" applyBorder="1" applyAlignment="1">
      <alignment horizontal="left" indent="1"/>
    </xf>
    <xf numFmtId="171" fontId="15" fillId="0" borderId="22" xfId="0" applyNumberFormat="1" applyFont="1" applyBorder="1"/>
    <xf numFmtId="14" fontId="0" fillId="0" borderId="0" xfId="0" applyNumberFormat="1"/>
    <xf numFmtId="0" fontId="2" fillId="0" borderId="22" xfId="0" applyNumberFormat="1" applyFont="1" applyFill="1" applyBorder="1" applyAlignment="1">
      <alignment horizontal="left" indent="1"/>
    </xf>
    <xf numFmtId="167" fontId="15" fillId="0" borderId="22" xfId="0" applyNumberFormat="1" applyFont="1" applyBorder="1"/>
    <xf numFmtId="171" fontId="2" fillId="0" borderId="22" xfId="0" applyNumberFormat="1" applyFont="1" applyBorder="1"/>
    <xf numFmtId="0" fontId="2" fillId="0" borderId="0" xfId="0" applyNumberFormat="1" applyFont="1" applyFill="1" applyBorder="1" applyAlignment="1"/>
    <xf numFmtId="171" fontId="2" fillId="0" borderId="0" xfId="0" applyNumberFormat="1" applyFont="1"/>
    <xf numFmtId="37" fontId="0" fillId="0" borderId="0" xfId="0" applyNumberFormat="1" applyFont="1"/>
    <xf numFmtId="177" fontId="46" fillId="0" borderId="0" xfId="0" applyNumberFormat="1" applyFont="1" applyBorder="1"/>
    <xf numFmtId="39" fontId="47" fillId="4" borderId="30" xfId="0" applyNumberFormat="1" applyFont="1" applyFill="1" applyBorder="1" applyAlignment="1" applyProtection="1">
      <alignment horizontal="center"/>
      <protection locked="0"/>
    </xf>
    <xf numFmtId="177" fontId="11" fillId="0" borderId="0" xfId="0" applyNumberFormat="1" applyFont="1" applyBorder="1" applyAlignment="1">
      <alignment horizontal="right"/>
    </xf>
    <xf numFmtId="172" fontId="0" fillId="0" borderId="0" xfId="2" applyNumberFormat="1" applyFont="1"/>
    <xf numFmtId="182" fontId="9" fillId="0" borderId="30" xfId="0" applyNumberFormat="1" applyFont="1" applyBorder="1"/>
    <xf numFmtId="177" fontId="11" fillId="0" borderId="0" xfId="0" applyNumberFormat="1" applyFont="1" applyBorder="1"/>
    <xf numFmtId="0" fontId="2" fillId="0" borderId="0" xfId="0" applyNumberFormat="1" applyFont="1" applyFill="1" applyBorder="1" applyAlignment="1">
      <alignment horizontal="left"/>
    </xf>
    <xf numFmtId="171" fontId="0" fillId="0" borderId="0" xfId="0" applyNumberFormat="1"/>
    <xf numFmtId="0" fontId="2" fillId="0" borderId="22" xfId="0" applyFont="1" applyBorder="1"/>
    <xf numFmtId="174" fontId="0" fillId="0" borderId="0" xfId="0" applyNumberFormat="1"/>
    <xf numFmtId="0" fontId="0" fillId="0" borderId="26" xfId="0" applyFill="1" applyBorder="1"/>
    <xf numFmtId="171" fontId="12" fillId="3" borderId="0" xfId="0" applyNumberFormat="1" applyFont="1" applyFill="1" applyProtection="1">
      <protection locked="0"/>
    </xf>
    <xf numFmtId="7" fontId="9" fillId="0" borderId="0" xfId="0" applyNumberFormat="1" applyFont="1" applyFill="1"/>
    <xf numFmtId="7" fontId="14" fillId="0" borderId="0" xfId="0" applyNumberFormat="1" applyFont="1" applyFill="1"/>
    <xf numFmtId="0" fontId="0" fillId="0" borderId="14" xfId="0" applyBorder="1"/>
    <xf numFmtId="0" fontId="49" fillId="0" borderId="14" xfId="0" applyFont="1" applyBorder="1" applyAlignment="1">
      <alignment horizontal="center"/>
    </xf>
    <xf numFmtId="0" fontId="49" fillId="0" borderId="0" xfId="0" applyFont="1" applyBorder="1" applyAlignment="1">
      <alignment horizontal="center"/>
    </xf>
    <xf numFmtId="183" fontId="12" fillId="3" borderId="0" xfId="0" applyNumberFormat="1" applyFont="1" applyFill="1" applyBorder="1" applyProtection="1">
      <protection locked="0"/>
    </xf>
    <xf numFmtId="7" fontId="12" fillId="3" borderId="0" xfId="0" applyNumberFormat="1" applyFont="1" applyFill="1" applyBorder="1" applyProtection="1">
      <protection locked="0"/>
    </xf>
    <xf numFmtId="183" fontId="0" fillId="0" borderId="0" xfId="0" applyNumberFormat="1"/>
    <xf numFmtId="183" fontId="12" fillId="3" borderId="0" xfId="0" applyNumberFormat="1" applyFont="1" applyFill="1" applyProtection="1">
      <protection locked="0"/>
    </xf>
    <xf numFmtId="7" fontId="12" fillId="3" borderId="0" xfId="0" applyNumberFormat="1" applyFont="1" applyFill="1" applyProtection="1">
      <protection locked="0"/>
    </xf>
    <xf numFmtId="183" fontId="12" fillId="3" borderId="1" xfId="0" applyNumberFormat="1" applyFont="1" applyFill="1" applyBorder="1" applyProtection="1">
      <protection locked="0"/>
    </xf>
    <xf numFmtId="7" fontId="12" fillId="3" borderId="1" xfId="0" applyNumberFormat="1" applyFont="1" applyFill="1" applyBorder="1" applyProtection="1">
      <protection locked="0"/>
    </xf>
    <xf numFmtId="0" fontId="0" fillId="0" borderId="12" xfId="0" applyBorder="1" applyAlignment="1">
      <alignment horizontal="left"/>
    </xf>
    <xf numFmtId="183" fontId="0" fillId="0" borderId="22" xfId="0" applyNumberFormat="1" applyBorder="1"/>
    <xf numFmtId="183" fontId="0" fillId="0" borderId="0" xfId="0" applyNumberFormat="1" applyBorder="1"/>
    <xf numFmtId="0" fontId="0" fillId="0" borderId="0" xfId="0" applyBorder="1" applyAlignment="1">
      <alignment horizontal="left"/>
    </xf>
    <xf numFmtId="167" fontId="0" fillId="0" borderId="0" xfId="0" applyNumberFormat="1" applyFont="1" applyFill="1" applyBorder="1"/>
    <xf numFmtId="182" fontId="0" fillId="0" borderId="0" xfId="0" applyNumberFormat="1" applyFont="1" applyFill="1" applyBorder="1"/>
    <xf numFmtId="183" fontId="12" fillId="0" borderId="0" xfId="0" applyNumberFormat="1" applyFont="1" applyFill="1"/>
    <xf numFmtId="0" fontId="0" fillId="0" borderId="0" xfId="0" applyFill="1"/>
    <xf numFmtId="0" fontId="0" fillId="0" borderId="0" xfId="0" applyFont="1" applyBorder="1" applyAlignment="1">
      <alignment horizontal="left"/>
    </xf>
    <xf numFmtId="183" fontId="0" fillId="0" borderId="0" xfId="0" applyNumberFormat="1" applyFont="1"/>
    <xf numFmtId="183" fontId="0" fillId="0" borderId="0" xfId="0" applyNumberFormat="1" applyFont="1" applyFill="1"/>
    <xf numFmtId="0" fontId="28" fillId="0" borderId="8" xfId="0" applyNumberFormat="1" applyFont="1" applyFill="1" applyBorder="1" applyAlignment="1"/>
    <xf numFmtId="183" fontId="12" fillId="0" borderId="0" xfId="0" applyNumberFormat="1" applyFont="1" applyFill="1" applyBorder="1"/>
    <xf numFmtId="0" fontId="2" fillId="0" borderId="21" xfId="0" applyNumberFormat="1" applyFont="1" applyFill="1" applyBorder="1" applyAlignment="1">
      <alignment horizontal="left"/>
    </xf>
    <xf numFmtId="183" fontId="15" fillId="0" borderId="12" xfId="0" applyNumberFormat="1" applyFont="1" applyBorder="1"/>
    <xf numFmtId="183" fontId="15" fillId="0" borderId="0" xfId="0" applyNumberFormat="1" applyFont="1" applyBorder="1"/>
    <xf numFmtId="0" fontId="50" fillId="0" borderId="0" xfId="0" applyFont="1"/>
    <xf numFmtId="166" fontId="9" fillId="0" borderId="0" xfId="0" applyNumberFormat="1" applyFont="1" applyBorder="1"/>
    <xf numFmtId="170" fontId="10" fillId="4" borderId="0" xfId="0" applyNumberFormat="1" applyFont="1" applyFill="1" applyBorder="1" applyAlignment="1" applyProtection="1">
      <protection locked="0"/>
    </xf>
    <xf numFmtId="166" fontId="9" fillId="0" borderId="0" xfId="0" applyNumberFormat="1" applyFont="1"/>
    <xf numFmtId="164" fontId="2" fillId="0" borderId="22" xfId="1" applyFont="1" applyBorder="1"/>
    <xf numFmtId="0" fontId="51" fillId="0" borderId="0" xfId="0" applyFont="1" applyFill="1" applyBorder="1"/>
    <xf numFmtId="172" fontId="33" fillId="0" borderId="0" xfId="2" applyNumberFormat="1" applyFont="1"/>
    <xf numFmtId="174" fontId="12" fillId="3" borderId="0" xfId="0" applyNumberFormat="1" applyFont="1" applyFill="1" applyBorder="1" applyProtection="1">
      <protection locked="0"/>
    </xf>
    <xf numFmtId="174" fontId="12" fillId="4" borderId="0" xfId="0" applyNumberFormat="1" applyFont="1" applyFill="1" applyBorder="1" applyAlignment="1" applyProtection="1">
      <protection locked="0"/>
    </xf>
    <xf numFmtId="167" fontId="12" fillId="0" borderId="26" xfId="0" applyNumberFormat="1" applyFont="1" applyFill="1" applyBorder="1" applyAlignment="1"/>
    <xf numFmtId="167" fontId="12" fillId="0" borderId="0" xfId="0" applyNumberFormat="1" applyFont="1" applyFill="1" applyBorder="1" applyAlignment="1"/>
    <xf numFmtId="9" fontId="9" fillId="0" borderId="0" xfId="0" applyNumberFormat="1" applyFont="1" applyFill="1" applyBorder="1" applyAlignment="1"/>
    <xf numFmtId="170" fontId="9" fillId="0" borderId="0" xfId="0" applyNumberFormat="1" applyFont="1" applyFill="1" applyBorder="1" applyAlignment="1"/>
    <xf numFmtId="0" fontId="0" fillId="0" borderId="31" xfId="0" applyBorder="1" applyAlignment="1">
      <alignment horizontal="center"/>
    </xf>
    <xf numFmtId="184" fontId="0" fillId="0" borderId="31" xfId="0" applyNumberFormat="1" applyBorder="1" applyAlignment="1">
      <alignment horizontal="center"/>
    </xf>
    <xf numFmtId="184" fontId="0" fillId="0" borderId="0" xfId="0" applyNumberFormat="1"/>
    <xf numFmtId="179" fontId="12" fillId="3" borderId="0" xfId="0" applyNumberFormat="1" applyFont="1" applyFill="1" applyProtection="1">
      <protection locked="0"/>
    </xf>
    <xf numFmtId="164" fontId="12" fillId="3" borderId="0" xfId="1" applyFont="1" applyFill="1" applyProtection="1">
      <protection locked="0"/>
    </xf>
    <xf numFmtId="185" fontId="0" fillId="0" borderId="0" xfId="0" applyNumberForma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G38"/>
  <sheetViews>
    <sheetView zoomScaleNormal="100" workbookViewId="0">
      <selection activeCell="C30" sqref="C30"/>
    </sheetView>
  </sheetViews>
  <sheetFormatPr defaultColWidth="9.140625" defaultRowHeight="12.75" x14ac:dyDescent="0.2"/>
  <cols>
    <col min="1" max="1" width="1.7109375" style="1" customWidth="1"/>
    <col min="2" max="2" width="22.85546875" style="5" customWidth="1"/>
    <col min="3" max="3" width="29" style="60" customWidth="1"/>
    <col min="4" max="4" width="75.140625" style="5" customWidth="1"/>
    <col min="5" max="16384" width="9.140625" style="5"/>
  </cols>
  <sheetData>
    <row r="1" spans="1:7" ht="23.25" x14ac:dyDescent="0.35">
      <c r="B1" s="2" t="s">
        <v>0</v>
      </c>
      <c r="C1" s="3"/>
      <c r="D1" s="4"/>
    </row>
    <row r="2" spans="1:7" ht="15" x14ac:dyDescent="0.25">
      <c r="B2" s="4"/>
      <c r="C2" s="3"/>
      <c r="D2" s="4"/>
      <c r="E2" s="6"/>
    </row>
    <row r="3" spans="1:7" ht="15.75" thickBot="1" x14ac:dyDescent="0.3">
      <c r="A3" s="7" t="s">
        <v>1</v>
      </c>
      <c r="B3" s="8" t="s">
        <v>2</v>
      </c>
      <c r="C3" s="8"/>
      <c r="D3" s="8"/>
      <c r="E3" s="9"/>
    </row>
    <row r="4" spans="1:7" ht="15" x14ac:dyDescent="0.25">
      <c r="B4" s="10" t="s">
        <v>3</v>
      </c>
      <c r="C4" s="11" t="s">
        <v>4</v>
      </c>
      <c r="D4" s="12"/>
      <c r="E4" s="13"/>
      <c r="F4" s="14"/>
      <c r="G4" s="14"/>
    </row>
    <row r="5" spans="1:7" ht="15" x14ac:dyDescent="0.25">
      <c r="B5" s="15" t="s">
        <v>5</v>
      </c>
      <c r="C5" s="16" t="s">
        <v>6</v>
      </c>
      <c r="D5" s="17"/>
      <c r="E5" s="13"/>
      <c r="F5" s="14"/>
      <c r="G5" s="14"/>
    </row>
    <row r="6" spans="1:7" ht="15" x14ac:dyDescent="0.25">
      <c r="B6" s="15" t="s">
        <v>7</v>
      </c>
      <c r="C6" s="16" t="s">
        <v>8</v>
      </c>
      <c r="D6" s="17"/>
      <c r="E6" s="13"/>
      <c r="F6" s="14"/>
      <c r="G6" s="14"/>
    </row>
    <row r="7" spans="1:7" ht="15" x14ac:dyDescent="0.25">
      <c r="B7" s="15" t="s">
        <v>9</v>
      </c>
      <c r="C7" s="16" t="s">
        <v>10</v>
      </c>
      <c r="D7" s="17"/>
      <c r="E7" s="13"/>
      <c r="F7" s="14"/>
      <c r="G7" s="14"/>
    </row>
    <row r="8" spans="1:7" ht="15" x14ac:dyDescent="0.25">
      <c r="B8" s="15" t="s">
        <v>11</v>
      </c>
      <c r="C8" s="18">
        <v>42035</v>
      </c>
      <c r="D8" s="17"/>
      <c r="E8" s="13"/>
      <c r="F8" s="14"/>
      <c r="G8" s="14"/>
    </row>
    <row r="9" spans="1:7" ht="15" x14ac:dyDescent="0.25">
      <c r="B9" s="15" t="s">
        <v>12</v>
      </c>
      <c r="C9" s="19"/>
      <c r="D9" s="17"/>
      <c r="E9" s="13"/>
      <c r="F9" s="14"/>
      <c r="G9" s="14"/>
    </row>
    <row r="10" spans="1:7" ht="15" x14ac:dyDescent="0.25">
      <c r="B10" s="15" t="s">
        <v>13</v>
      </c>
      <c r="C10" s="18">
        <v>42345</v>
      </c>
      <c r="D10" s="17"/>
      <c r="E10" s="13"/>
      <c r="F10" s="14"/>
      <c r="G10" s="14"/>
    </row>
    <row r="11" spans="1:7" ht="15" x14ac:dyDescent="0.25">
      <c r="B11" s="20" t="s">
        <v>14</v>
      </c>
      <c r="C11" s="21">
        <v>3.88</v>
      </c>
      <c r="D11" s="22"/>
      <c r="E11" s="13"/>
      <c r="F11" s="14"/>
      <c r="G11" s="14"/>
    </row>
    <row r="12" spans="1:7" x14ac:dyDescent="0.2">
      <c r="B12" s="23"/>
      <c r="C12" s="24"/>
      <c r="D12" s="23"/>
      <c r="E12" s="14"/>
      <c r="F12" s="14"/>
      <c r="G12" s="14"/>
    </row>
    <row r="13" spans="1:7" ht="15.75" thickBot="1" x14ac:dyDescent="0.3">
      <c r="B13" s="8" t="s">
        <v>15</v>
      </c>
      <c r="C13" s="8"/>
      <c r="D13" s="8"/>
      <c r="E13" s="13"/>
      <c r="F13" s="14"/>
      <c r="G13" s="14"/>
    </row>
    <row r="14" spans="1:7" ht="15" x14ac:dyDescent="0.25">
      <c r="B14" s="25" t="s">
        <v>16</v>
      </c>
      <c r="C14" s="26"/>
      <c r="D14" s="27"/>
      <c r="E14" s="13"/>
      <c r="F14" s="14"/>
      <c r="G14" s="14"/>
    </row>
    <row r="15" spans="1:7" ht="15" x14ac:dyDescent="0.25">
      <c r="B15" s="28" t="s">
        <v>17</v>
      </c>
      <c r="C15" s="24"/>
      <c r="D15" s="22"/>
      <c r="E15" s="13"/>
      <c r="F15" s="14"/>
      <c r="G15" s="14"/>
    </row>
    <row r="16" spans="1:7" x14ac:dyDescent="0.2">
      <c r="B16" s="4"/>
      <c r="C16" s="3"/>
      <c r="D16" s="4"/>
    </row>
    <row r="17" spans="2:5" ht="15.75" thickBot="1" x14ac:dyDescent="0.3">
      <c r="B17" s="8" t="s">
        <v>18</v>
      </c>
      <c r="C17" s="8"/>
      <c r="D17" s="8"/>
    </row>
    <row r="18" spans="2:5" ht="15" x14ac:dyDescent="0.25">
      <c r="B18" s="29">
        <v>1234</v>
      </c>
      <c r="C18" s="30" t="s">
        <v>19</v>
      </c>
      <c r="D18" s="31" t="s">
        <v>20</v>
      </c>
      <c r="E18" s="9"/>
    </row>
    <row r="19" spans="2:5" ht="15" x14ac:dyDescent="0.25">
      <c r="B19" s="32">
        <v>1234</v>
      </c>
      <c r="C19" s="30" t="s">
        <v>21</v>
      </c>
      <c r="D19" s="31" t="s">
        <v>22</v>
      </c>
      <c r="E19" s="9"/>
    </row>
    <row r="20" spans="2:5" ht="15" x14ac:dyDescent="0.25">
      <c r="B20" s="33">
        <v>1234</v>
      </c>
      <c r="C20" s="34" t="s">
        <v>23</v>
      </c>
      <c r="D20" s="35" t="s">
        <v>24</v>
      </c>
      <c r="E20" s="9"/>
    </row>
    <row r="21" spans="2:5" x14ac:dyDescent="0.2">
      <c r="B21" s="23"/>
      <c r="C21" s="36"/>
      <c r="D21" s="13"/>
    </row>
    <row r="22" spans="2:5" ht="15.75" thickBot="1" x14ac:dyDescent="0.3">
      <c r="B22" s="8" t="s">
        <v>25</v>
      </c>
      <c r="C22" s="8"/>
      <c r="D22" s="8"/>
    </row>
    <row r="23" spans="2:5" ht="15" x14ac:dyDescent="0.25">
      <c r="B23" s="37" t="s">
        <v>26</v>
      </c>
      <c r="C23" s="38"/>
      <c r="D23" s="39"/>
    </row>
    <row r="24" spans="2:5" ht="15" x14ac:dyDescent="0.25">
      <c r="B24" s="40"/>
      <c r="C24" s="41"/>
      <c r="D24" s="40"/>
    </row>
    <row r="25" spans="2:5" ht="15.75" thickBot="1" x14ac:dyDescent="0.3">
      <c r="B25" s="8" t="s">
        <v>27</v>
      </c>
      <c r="C25" s="8"/>
      <c r="D25" s="8"/>
    </row>
    <row r="26" spans="2:5" ht="15" x14ac:dyDescent="0.25">
      <c r="B26" s="42" t="s">
        <v>28</v>
      </c>
      <c r="C26" s="43"/>
      <c r="D26" s="44" t="b">
        <f>AND(ROUND(FSM!C66:J66,3)=0)</f>
        <v>1</v>
      </c>
      <c r="E26" s="9"/>
    </row>
    <row r="27" spans="2:5" ht="15" x14ac:dyDescent="0.25">
      <c r="B27" s="45"/>
      <c r="C27" s="46"/>
      <c r="D27" s="45"/>
    </row>
    <row r="28" spans="2:5" ht="15.75" thickBot="1" x14ac:dyDescent="0.3">
      <c r="B28" s="8" t="s">
        <v>29</v>
      </c>
      <c r="C28" s="8"/>
      <c r="D28" s="8"/>
    </row>
    <row r="29" spans="2:5" ht="15" x14ac:dyDescent="0.25">
      <c r="B29" s="47"/>
      <c r="C29" s="48"/>
      <c r="D29" s="49"/>
    </row>
    <row r="30" spans="2:5" ht="15" x14ac:dyDescent="0.25">
      <c r="B30" s="50" t="s">
        <v>30</v>
      </c>
      <c r="C30" s="51" t="s">
        <v>31</v>
      </c>
      <c r="D30" s="52"/>
      <c r="E30" s="9"/>
    </row>
    <row r="31" spans="2:5" ht="60" x14ac:dyDescent="0.25">
      <c r="B31" s="47"/>
      <c r="C31" s="53" t="s">
        <v>32</v>
      </c>
      <c r="D31" s="54"/>
      <c r="E31" s="9"/>
    </row>
    <row r="32" spans="2:5" ht="15" x14ac:dyDescent="0.25">
      <c r="B32" s="47"/>
      <c r="C32" s="48"/>
      <c r="D32" s="49"/>
    </row>
    <row r="33" spans="1:4" ht="30" x14ac:dyDescent="0.25">
      <c r="A33" s="55" t="s">
        <v>1</v>
      </c>
      <c r="B33" s="56" t="s">
        <v>33</v>
      </c>
      <c r="C33" s="57"/>
      <c r="D33" s="58"/>
    </row>
    <row r="38" spans="1:4" x14ac:dyDescent="0.2">
      <c r="C38" s="59"/>
    </row>
  </sheetData>
  <sheetProtection algorithmName="SHA-512" hashValue="yVT5C1XupwIiwFpyjbi8b3pmWd/lCkycBb0ENOySRElkoiN8iH3Vo+aJEjpQaAuoGqNxaPWeEvSqjkGRTI93CQ==" saltValue="gDULzSKcrkPTm2gyZEG1yg==" spinCount="100000" sheet="1" objects="1" scenarios="1"/>
  <dataValidations count="1">
    <dataValidation type="list" allowBlank="1" showInputMessage="1" showErrorMessage="1" sqref="C30">
      <formula1>"ON,OFF"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AH61"/>
  <sheetViews>
    <sheetView topLeftCell="A4" zoomScale="110" zoomScaleNormal="110" workbookViewId="0">
      <pane xSplit="2" ySplit="9" topLeftCell="C13" activePane="bottomRight" state="frozen"/>
      <selection activeCell="C30" sqref="C30"/>
      <selection pane="topRight" activeCell="C30" sqref="C30"/>
      <selection pane="bottomLeft" activeCell="C30" sqref="C30"/>
      <selection pane="bottomRight" activeCell="C30" sqref="C30"/>
    </sheetView>
  </sheetViews>
  <sheetFormatPr defaultColWidth="9.140625" defaultRowHeight="15" x14ac:dyDescent="0.25"/>
  <cols>
    <col min="1" max="1" width="1.7109375" style="1" customWidth="1"/>
    <col min="2" max="2" width="42.42578125" customWidth="1"/>
    <col min="3" max="7" width="10.7109375" customWidth="1"/>
    <col min="8" max="8" width="1.7109375" customWidth="1"/>
    <col min="9" max="13" width="10.7109375" customWidth="1"/>
    <col min="14" max="14" width="6.85546875" customWidth="1"/>
    <col min="15" max="19" width="10.7109375" customWidth="1"/>
    <col min="20" max="20" width="7" customWidth="1"/>
    <col min="21" max="25" width="10.7109375" customWidth="1"/>
    <col min="26" max="26" width="19" customWidth="1"/>
    <col min="27" max="27" width="13.7109375" bestFit="1" customWidth="1"/>
  </cols>
  <sheetData>
    <row r="1" spans="1:34" ht="23.25" x14ac:dyDescent="0.35">
      <c r="B1" s="2" t="s">
        <v>34</v>
      </c>
      <c r="C1" s="61"/>
      <c r="D1" s="61"/>
      <c r="E1" s="61"/>
      <c r="F1" s="61"/>
      <c r="G1" s="61"/>
      <c r="H1" s="61"/>
      <c r="I1" s="61"/>
      <c r="J1" s="61"/>
      <c r="K1" s="61"/>
      <c r="L1" s="61"/>
      <c r="M1" s="61"/>
      <c r="N1" s="61"/>
      <c r="O1" s="61"/>
      <c r="P1" s="61"/>
      <c r="Q1" s="61"/>
      <c r="R1" s="61"/>
      <c r="S1" s="61"/>
      <c r="T1" s="61"/>
      <c r="U1" s="61"/>
      <c r="V1" s="61"/>
      <c r="W1" s="61"/>
      <c r="X1" s="61"/>
      <c r="Y1" s="61"/>
      <c r="Z1" s="61"/>
    </row>
    <row r="2" spans="1:34" s="63" customFormat="1" ht="15.75" x14ac:dyDescent="0.25">
      <c r="A2" s="1"/>
      <c r="B2" s="62" t="str">
        <f>'Cover Sheet'!C5</f>
        <v>Reitmans (CANADA) Limited</v>
      </c>
      <c r="D2" s="64"/>
      <c r="E2" s="64"/>
      <c r="F2" s="64"/>
      <c r="G2" s="64"/>
      <c r="H2" s="64"/>
      <c r="I2" s="64"/>
      <c r="J2" s="64"/>
      <c r="K2" s="64"/>
      <c r="L2" s="64"/>
      <c r="M2" s="64"/>
      <c r="N2" s="64"/>
      <c r="O2" s="64"/>
      <c r="P2" s="64"/>
      <c r="Q2" s="64"/>
      <c r="R2" s="64"/>
      <c r="S2" s="64"/>
      <c r="T2" s="64"/>
      <c r="U2" s="64"/>
      <c r="V2" s="64"/>
      <c r="W2" s="64"/>
      <c r="X2" s="64"/>
      <c r="Y2" s="64"/>
      <c r="Z2" s="64"/>
    </row>
    <row r="3" spans="1:34" s="63" customFormat="1" ht="15.75" x14ac:dyDescent="0.25">
      <c r="A3" s="1"/>
      <c r="B3" s="62" t="str">
        <f>C8</f>
        <v>Best Case</v>
      </c>
      <c r="D3" s="64"/>
      <c r="E3" s="64"/>
      <c r="F3" s="64"/>
      <c r="G3" s="64"/>
      <c r="H3" s="64"/>
      <c r="I3" s="64"/>
      <c r="J3" s="64"/>
      <c r="K3" s="64"/>
      <c r="L3" s="64"/>
      <c r="M3" s="64"/>
      <c r="N3" s="64"/>
      <c r="O3" s="64"/>
      <c r="P3" s="64"/>
      <c r="Q3" s="64"/>
      <c r="R3" s="64"/>
      <c r="S3" s="64"/>
      <c r="T3" s="64"/>
      <c r="U3" s="64"/>
      <c r="V3" s="64"/>
      <c r="W3" s="64"/>
      <c r="X3" s="64"/>
      <c r="Y3" s="64"/>
      <c r="Z3" s="64"/>
    </row>
    <row r="4" spans="1:34" s="63" customFormat="1" ht="15.75" x14ac:dyDescent="0.25">
      <c r="A4" s="1"/>
      <c r="B4" s="65"/>
      <c r="C4" s="64"/>
      <c r="D4" s="64"/>
      <c r="E4" s="64"/>
      <c r="F4" s="64"/>
      <c r="G4" s="64"/>
      <c r="H4" s="64"/>
      <c r="I4" s="64"/>
      <c r="J4" s="64"/>
      <c r="K4" s="64"/>
      <c r="L4" s="64"/>
      <c r="M4" s="64"/>
      <c r="N4" s="64"/>
      <c r="O4" s="64"/>
      <c r="P4" s="64"/>
      <c r="Q4" s="64"/>
      <c r="R4" s="64"/>
      <c r="S4" s="64"/>
      <c r="T4" s="64"/>
      <c r="U4" s="64"/>
      <c r="V4" s="64"/>
      <c r="W4" s="64"/>
      <c r="X4" s="64"/>
      <c r="Y4" s="64"/>
      <c r="Z4" s="64"/>
    </row>
    <row r="5" spans="1:34" s="63" customFormat="1" ht="15.75" x14ac:dyDescent="0.25">
      <c r="A5" s="1"/>
      <c r="B5" s="64"/>
      <c r="C5" s="66"/>
      <c r="D5" s="64"/>
      <c r="E5" s="64"/>
      <c r="F5" s="64"/>
      <c r="G5" s="64"/>
      <c r="H5" s="64"/>
      <c r="I5" s="64"/>
      <c r="J5" s="64"/>
      <c r="K5" s="64"/>
      <c r="L5" s="64"/>
      <c r="M5" s="64"/>
    </row>
    <row r="6" spans="1:34" s="63" customFormat="1" ht="19.5" thickBot="1" x14ac:dyDescent="0.35">
      <c r="A6" s="7" t="s">
        <v>1</v>
      </c>
      <c r="B6" s="67" t="s">
        <v>35</v>
      </c>
      <c r="C6" s="67"/>
      <c r="D6" s="67"/>
      <c r="E6" s="67"/>
      <c r="F6" s="67"/>
      <c r="G6" s="67"/>
      <c r="H6" s="67"/>
      <c r="I6" s="67"/>
      <c r="J6" s="67"/>
      <c r="K6" s="67"/>
      <c r="L6" s="67"/>
      <c r="M6" s="67"/>
      <c r="N6" s="67"/>
      <c r="O6" s="67"/>
      <c r="P6" s="67"/>
      <c r="Q6" s="67"/>
      <c r="R6" s="67"/>
      <c r="S6" s="67"/>
      <c r="T6" s="67"/>
      <c r="U6" s="67"/>
      <c r="V6" s="67"/>
      <c r="W6" s="67"/>
      <c r="X6" s="67"/>
      <c r="Y6" s="67"/>
      <c r="Z6" s="67"/>
    </row>
    <row r="7" spans="1:34" s="70" customFormat="1" ht="15.75" x14ac:dyDescent="0.25">
      <c r="A7" s="1"/>
      <c r="B7" s="68"/>
      <c r="C7" s="69"/>
      <c r="D7" s="69"/>
      <c r="E7" s="69"/>
      <c r="F7" s="69"/>
      <c r="G7" s="69"/>
      <c r="H7" s="69"/>
      <c r="I7" s="69"/>
      <c r="J7" s="69"/>
      <c r="K7" s="69"/>
      <c r="L7" s="69"/>
      <c r="M7" s="69"/>
      <c r="N7" s="69"/>
      <c r="O7" s="69"/>
      <c r="P7" s="69"/>
      <c r="Q7" s="69"/>
      <c r="R7" s="69"/>
      <c r="S7" s="69"/>
      <c r="T7" s="69"/>
      <c r="U7" s="69"/>
      <c r="V7" s="69"/>
      <c r="W7" s="69"/>
      <c r="X7" s="69"/>
      <c r="Y7" s="69"/>
      <c r="Z7" s="69"/>
    </row>
    <row r="8" spans="1:34" s="63" customFormat="1" ht="15.75" x14ac:dyDescent="0.25">
      <c r="A8" s="1"/>
      <c r="B8" s="71" t="s">
        <v>36</v>
      </c>
      <c r="C8" s="72" t="s">
        <v>37</v>
      </c>
      <c r="D8" s="73"/>
      <c r="E8" s="64"/>
      <c r="F8" s="64"/>
      <c r="G8" s="64"/>
      <c r="I8" s="74"/>
      <c r="J8" s="66"/>
      <c r="K8" s="66"/>
      <c r="L8" s="66"/>
      <c r="M8" s="66"/>
      <c r="N8" s="66"/>
      <c r="O8" s="66"/>
      <c r="P8" s="66"/>
      <c r="Q8" s="66"/>
      <c r="R8" s="66"/>
      <c r="S8" s="66"/>
      <c r="T8" s="66"/>
      <c r="U8" s="66"/>
      <c r="V8" s="66"/>
      <c r="W8" s="66"/>
      <c r="X8" s="66"/>
      <c r="Y8" s="66"/>
      <c r="Z8" s="66"/>
      <c r="AH8"/>
    </row>
    <row r="9" spans="1:34" x14ac:dyDescent="0.25">
      <c r="B9" s="75"/>
      <c r="C9" s="76"/>
      <c r="D9" s="76"/>
      <c r="E9" s="77"/>
      <c r="F9" s="78"/>
      <c r="G9" s="78"/>
      <c r="H9" s="78"/>
      <c r="I9" s="76"/>
      <c r="J9" s="76"/>
      <c r="K9" s="76"/>
      <c r="L9" s="75"/>
      <c r="M9" s="75"/>
      <c r="N9" s="75"/>
      <c r="O9" s="76"/>
      <c r="P9" s="76"/>
      <c r="Q9" s="76"/>
      <c r="R9" s="75"/>
      <c r="S9" s="75"/>
      <c r="T9" s="75"/>
      <c r="U9" s="76"/>
      <c r="V9" s="76"/>
      <c r="W9" s="76"/>
      <c r="X9" s="75"/>
      <c r="Y9" s="75"/>
      <c r="Z9" s="75"/>
      <c r="AB9" s="75"/>
    </row>
    <row r="10" spans="1:34" x14ac:dyDescent="0.25">
      <c r="B10" s="75"/>
      <c r="C10" s="79" t="str">
        <f>"Current Case: "&amp;C8</f>
        <v>Current Case: Best Case</v>
      </c>
      <c r="D10" s="80"/>
      <c r="E10" s="80"/>
      <c r="F10" s="81"/>
      <c r="G10" s="81"/>
      <c r="H10" s="82"/>
      <c r="I10" s="83" t="str">
        <f>B44</f>
        <v>Best Case</v>
      </c>
      <c r="J10" s="84"/>
      <c r="K10" s="84"/>
      <c r="L10" s="85"/>
      <c r="M10" s="85"/>
      <c r="N10" s="52"/>
      <c r="O10" s="83" t="str">
        <f>B45</f>
        <v>Base Case</v>
      </c>
      <c r="P10" s="84"/>
      <c r="Q10" s="84"/>
      <c r="R10" s="85"/>
      <c r="S10" s="85"/>
      <c r="T10" s="40"/>
      <c r="U10" s="83" t="str">
        <f>B46</f>
        <v>Weak Case</v>
      </c>
      <c r="V10" s="84"/>
      <c r="W10" s="84"/>
      <c r="X10" s="85"/>
      <c r="Y10" s="85"/>
      <c r="Z10" s="40"/>
    </row>
    <row r="11" spans="1:34" x14ac:dyDescent="0.25">
      <c r="B11" s="75"/>
      <c r="C11" s="86" t="str">
        <f>FSM!$F$7</f>
        <v>Projected</v>
      </c>
      <c r="D11" s="87"/>
      <c r="E11" s="87"/>
      <c r="F11" s="87"/>
      <c r="G11" s="87"/>
      <c r="H11" s="82"/>
      <c r="I11" s="88" t="str">
        <f>FSM!$F$7</f>
        <v>Projected</v>
      </c>
      <c r="J11" s="89"/>
      <c r="K11" s="89"/>
      <c r="L11" s="89"/>
      <c r="M11" s="89"/>
      <c r="N11" s="82"/>
      <c r="O11" s="88" t="str">
        <f>FSM!$F$7</f>
        <v>Projected</v>
      </c>
      <c r="P11" s="89"/>
      <c r="Q11" s="89"/>
      <c r="R11" s="89"/>
      <c r="S11" s="89"/>
      <c r="U11" s="88" t="str">
        <f>FSM!$F$7</f>
        <v>Projected</v>
      </c>
      <c r="V11" s="89"/>
      <c r="W11" s="89"/>
      <c r="X11" s="89"/>
      <c r="Y11" s="89"/>
    </row>
    <row r="12" spans="1:34" x14ac:dyDescent="0.25">
      <c r="B12" s="90" t="s">
        <v>38</v>
      </c>
      <c r="C12" s="91">
        <f>YEAR('Cover Sheet'!C8)+1</f>
        <v>2016</v>
      </c>
      <c r="D12" s="92">
        <f>C12+1</f>
        <v>2017</v>
      </c>
      <c r="E12" s="92">
        <f t="shared" ref="E12:G12" si="0">D12+1</f>
        <v>2018</v>
      </c>
      <c r="F12" s="92">
        <f t="shared" si="0"/>
        <v>2019</v>
      </c>
      <c r="G12" s="92">
        <f t="shared" si="0"/>
        <v>2020</v>
      </c>
      <c r="H12" s="82"/>
      <c r="I12" s="93">
        <f>YEAR('Cover Sheet'!C8)+1</f>
        <v>2016</v>
      </c>
      <c r="J12" s="93">
        <f>I12+1</f>
        <v>2017</v>
      </c>
      <c r="K12" s="93">
        <f t="shared" ref="K12:M12" si="1">J12+1</f>
        <v>2018</v>
      </c>
      <c r="L12" s="93">
        <f t="shared" si="1"/>
        <v>2019</v>
      </c>
      <c r="M12" s="93">
        <f t="shared" si="1"/>
        <v>2020</v>
      </c>
      <c r="N12" s="94"/>
      <c r="O12" s="93">
        <f>YEAR('Cover Sheet'!C8)+1</f>
        <v>2016</v>
      </c>
      <c r="P12" s="93">
        <f>O12+1</f>
        <v>2017</v>
      </c>
      <c r="Q12" s="93">
        <f t="shared" ref="Q12:S12" si="2">P12+1</f>
        <v>2018</v>
      </c>
      <c r="R12" s="93">
        <f t="shared" si="2"/>
        <v>2019</v>
      </c>
      <c r="S12" s="93">
        <f t="shared" si="2"/>
        <v>2020</v>
      </c>
      <c r="T12" s="94"/>
      <c r="U12" s="93">
        <f>YEAR('Cover Sheet'!C8)+1</f>
        <v>2016</v>
      </c>
      <c r="V12" s="93">
        <f>U12+1</f>
        <v>2017</v>
      </c>
      <c r="W12" s="93">
        <f t="shared" ref="W12:Y12" si="3">V12+1</f>
        <v>2018</v>
      </c>
      <c r="X12" s="93">
        <f t="shared" si="3"/>
        <v>2019</v>
      </c>
      <c r="Y12" s="93">
        <f t="shared" si="3"/>
        <v>2020</v>
      </c>
      <c r="Z12" s="95"/>
    </row>
    <row r="13" spans="1:34" x14ac:dyDescent="0.25">
      <c r="B13" s="85" t="s">
        <v>39</v>
      </c>
      <c r="C13" s="96">
        <f t="shared" ref="C13:G16" ca="1" si="4">+IF($C$8=$I$10,OFFSET(I10,3,0),IF($C$8=$O$10,OFFSET(O10,3,0),IF($C$8=$U$10,OFFSET(U10,3,0))))</f>
        <v>6.0000000000000001E-3</v>
      </c>
      <c r="D13" s="96">
        <f t="shared" ca="1" si="4"/>
        <v>0</v>
      </c>
      <c r="E13" s="96">
        <f t="shared" ca="1" si="4"/>
        <v>0.01</v>
      </c>
      <c r="F13" s="96">
        <f t="shared" ca="1" si="4"/>
        <v>1.4999999999999999E-2</v>
      </c>
      <c r="G13" s="96">
        <f t="shared" ca="1" si="4"/>
        <v>1.4999999999999999E-2</v>
      </c>
      <c r="H13" s="75"/>
      <c r="I13" s="97">
        <v>6.0000000000000001E-3</v>
      </c>
      <c r="J13" s="97">
        <v>0</v>
      </c>
      <c r="K13" s="97">
        <v>0.01</v>
      </c>
      <c r="L13" s="97">
        <v>1.4999999999999999E-2</v>
      </c>
      <c r="M13" s="97">
        <v>1.4999999999999999E-2</v>
      </c>
      <c r="O13" s="97">
        <f>+(943-FSM!E9)/FSM!E9</f>
        <v>3.832233340430086E-3</v>
      </c>
      <c r="P13" s="97">
        <v>-5.0000000000000001E-3</v>
      </c>
      <c r="Q13" s="97">
        <v>1E-3</v>
      </c>
      <c r="R13" s="97">
        <v>5.0000000000000001E-3</v>
      </c>
      <c r="S13" s="97">
        <v>5.0000000000000001E-3</v>
      </c>
      <c r="U13" s="98">
        <v>3.0000000000000001E-3</v>
      </c>
      <c r="V13" s="98">
        <v>-5.0000000000000001E-3</v>
      </c>
      <c r="W13" s="98">
        <v>-5.0000000000000001E-3</v>
      </c>
      <c r="X13" s="98">
        <v>-5.0000000000000001E-3</v>
      </c>
      <c r="Y13" s="98">
        <v>-5.0000000000000001E-3</v>
      </c>
      <c r="Z13" s="99"/>
    </row>
    <row r="14" spans="1:34" x14ac:dyDescent="0.25">
      <c r="B14" s="100" t="s">
        <v>40</v>
      </c>
      <c r="C14" s="96">
        <f t="shared" ca="1" si="4"/>
        <v>0.42699999999999999</v>
      </c>
      <c r="D14" s="96">
        <f t="shared" ca="1" si="4"/>
        <v>0.41</v>
      </c>
      <c r="E14" s="96">
        <f t="shared" ca="1" si="4"/>
        <v>0.40500000000000003</v>
      </c>
      <c r="F14" s="96">
        <f t="shared" ca="1" si="4"/>
        <v>0.4</v>
      </c>
      <c r="G14" s="96">
        <f t="shared" ca="1" si="4"/>
        <v>0.4</v>
      </c>
      <c r="H14" s="75"/>
      <c r="I14" s="101">
        <f>+O14</f>
        <v>0.42699999999999999</v>
      </c>
      <c r="J14" s="101">
        <v>0.41</v>
      </c>
      <c r="K14" s="101">
        <v>0.40500000000000003</v>
      </c>
      <c r="L14" s="101">
        <v>0.4</v>
      </c>
      <c r="M14" s="101">
        <v>0.4</v>
      </c>
      <c r="O14" s="101">
        <v>0.42699999999999999</v>
      </c>
      <c r="P14" s="101">
        <v>0.41199999999999998</v>
      </c>
      <c r="Q14" s="101">
        <v>0.41199999999999998</v>
      </c>
      <c r="R14" s="101">
        <v>0.40500000000000003</v>
      </c>
      <c r="S14" s="101">
        <v>0.4</v>
      </c>
      <c r="U14" s="101">
        <f>+O14</f>
        <v>0.42699999999999999</v>
      </c>
      <c r="V14" s="101">
        <v>0.43</v>
      </c>
      <c r="W14" s="101">
        <v>0.435</v>
      </c>
      <c r="X14" s="101">
        <v>0.44</v>
      </c>
      <c r="Y14" s="101">
        <v>0.44500000000000001</v>
      </c>
    </row>
    <row r="15" spans="1:34" x14ac:dyDescent="0.25">
      <c r="B15" s="100" t="s">
        <v>41</v>
      </c>
      <c r="C15" s="96">
        <f t="shared" ca="1" si="4"/>
        <v>0.56799999999999995</v>
      </c>
      <c r="D15" s="96">
        <f t="shared" ca="1" si="4"/>
        <v>0.56000000000000005</v>
      </c>
      <c r="E15" s="96">
        <f t="shared" ca="1" si="4"/>
        <v>0.55000000000000004</v>
      </c>
      <c r="F15" s="96">
        <f t="shared" ca="1" si="4"/>
        <v>0.54</v>
      </c>
      <c r="G15" s="96">
        <f t="shared" ca="1" si="4"/>
        <v>0.53</v>
      </c>
      <c r="H15" s="75"/>
      <c r="I15" s="101">
        <f>+O15</f>
        <v>0.56799999999999995</v>
      </c>
      <c r="J15" s="101">
        <v>0.56000000000000005</v>
      </c>
      <c r="K15" s="101">
        <v>0.55000000000000004</v>
      </c>
      <c r="L15" s="101">
        <v>0.54</v>
      </c>
      <c r="M15" s="101">
        <v>0.53</v>
      </c>
      <c r="O15" s="101">
        <v>0.56799999999999995</v>
      </c>
      <c r="P15" s="101">
        <v>0.56799999999999995</v>
      </c>
      <c r="Q15" s="101">
        <v>0.56000000000000005</v>
      </c>
      <c r="R15" s="101">
        <v>0.55500000000000005</v>
      </c>
      <c r="S15" s="101">
        <v>0.55000000000000004</v>
      </c>
      <c r="U15" s="101">
        <f>+O15</f>
        <v>0.56799999999999995</v>
      </c>
      <c r="V15" s="101">
        <v>0.57499999999999996</v>
      </c>
      <c r="W15" s="101">
        <v>0.57999999999999996</v>
      </c>
      <c r="X15" s="101">
        <v>0.58499999999999996</v>
      </c>
      <c r="Y15" s="101">
        <v>0.59</v>
      </c>
    </row>
    <row r="16" spans="1:34" x14ac:dyDescent="0.25">
      <c r="B16" s="100" t="s">
        <v>42</v>
      </c>
      <c r="C16" s="96">
        <f t="shared" ca="1" si="4"/>
        <v>0.29299999999999998</v>
      </c>
      <c r="D16" s="96">
        <f t="shared" ca="1" si="4"/>
        <v>0.29299999999999998</v>
      </c>
      <c r="E16" s="96">
        <f t="shared" ca="1" si="4"/>
        <v>0.29299999999999998</v>
      </c>
      <c r="F16" s="96">
        <f t="shared" ca="1" si="4"/>
        <v>0.29299999999999998</v>
      </c>
      <c r="G16" s="96">
        <f t="shared" ca="1" si="4"/>
        <v>0.29299999999999998</v>
      </c>
      <c r="H16" s="75"/>
      <c r="I16" s="101">
        <f>+O16</f>
        <v>0.29299999999999998</v>
      </c>
      <c r="J16" s="101">
        <f t="shared" ref="J16:M16" si="5">+P16</f>
        <v>0.29299999999999998</v>
      </c>
      <c r="K16" s="101">
        <f t="shared" si="5"/>
        <v>0.29299999999999998</v>
      </c>
      <c r="L16" s="101">
        <f t="shared" si="5"/>
        <v>0.29299999999999998</v>
      </c>
      <c r="M16" s="101">
        <f t="shared" si="5"/>
        <v>0.29299999999999998</v>
      </c>
      <c r="O16" s="101">
        <v>0.29299999999999998</v>
      </c>
      <c r="P16" s="101">
        <v>0.29299999999999998</v>
      </c>
      <c r="Q16" s="101">
        <v>0.29299999999999998</v>
      </c>
      <c r="R16" s="101">
        <v>0.29299999999999998</v>
      </c>
      <c r="S16" s="101">
        <v>0.29299999999999998</v>
      </c>
      <c r="U16" s="101">
        <f>+O16:O16</f>
        <v>0.29299999999999998</v>
      </c>
      <c r="V16" s="101">
        <f t="shared" ref="V16:Y16" si="6">+P16:P16</f>
        <v>0.29299999999999998</v>
      </c>
      <c r="W16" s="101">
        <f t="shared" si="6"/>
        <v>0.29299999999999998</v>
      </c>
      <c r="X16" s="101">
        <f t="shared" si="6"/>
        <v>0.29299999999999998</v>
      </c>
      <c r="Y16" s="101">
        <f t="shared" si="6"/>
        <v>0.29299999999999998</v>
      </c>
    </row>
    <row r="17" spans="2:25" x14ac:dyDescent="0.25">
      <c r="B17" s="100"/>
      <c r="C17" s="102"/>
      <c r="D17" s="102"/>
      <c r="E17" s="102"/>
      <c r="F17" s="102"/>
      <c r="G17" s="102"/>
      <c r="H17" s="75"/>
      <c r="I17" s="103"/>
      <c r="J17" s="103"/>
      <c r="K17" s="103"/>
      <c r="L17" s="103"/>
      <c r="M17" s="103"/>
      <c r="O17" s="103"/>
      <c r="P17" s="103"/>
      <c r="Q17" s="103"/>
      <c r="R17" s="103"/>
      <c r="S17" s="103"/>
      <c r="U17" s="103"/>
      <c r="V17" s="103"/>
      <c r="W17" s="103"/>
      <c r="X17" s="103"/>
      <c r="Y17" s="103"/>
    </row>
    <row r="18" spans="2:25" x14ac:dyDescent="0.25">
      <c r="B18" s="90" t="s">
        <v>43</v>
      </c>
      <c r="C18" s="102"/>
      <c r="D18" s="102"/>
      <c r="E18" s="102"/>
      <c r="F18" s="102"/>
      <c r="G18" s="102"/>
      <c r="H18" s="75"/>
      <c r="I18" s="104"/>
      <c r="J18" s="104"/>
      <c r="K18" s="104"/>
      <c r="L18" s="104"/>
      <c r="M18" s="104"/>
      <c r="O18" s="104"/>
      <c r="P18" s="104"/>
      <c r="Q18" s="104"/>
      <c r="R18" s="104"/>
      <c r="S18" s="104"/>
      <c r="U18" s="104"/>
      <c r="V18" s="104"/>
      <c r="W18" s="104"/>
      <c r="X18" s="104"/>
      <c r="Y18" s="104"/>
    </row>
    <row r="19" spans="2:25" x14ac:dyDescent="0.25">
      <c r="B19" s="85" t="s">
        <v>44</v>
      </c>
      <c r="C19" s="105">
        <f t="shared" ref="C19:G21" si="7">CHOOSE(MATCH($C$8,$B$44:$B$46,0),I19,O19,U19)</f>
        <v>3</v>
      </c>
      <c r="D19" s="105">
        <f t="shared" si="7"/>
        <v>3</v>
      </c>
      <c r="E19" s="105">
        <f t="shared" si="7"/>
        <v>3</v>
      </c>
      <c r="F19" s="105">
        <f t="shared" si="7"/>
        <v>3</v>
      </c>
      <c r="G19" s="105">
        <f t="shared" si="7"/>
        <v>3</v>
      </c>
      <c r="H19" s="75"/>
      <c r="I19" s="106">
        <f>+O19</f>
        <v>3</v>
      </c>
      <c r="J19" s="106">
        <f t="shared" ref="J19:M19" si="8">+P19</f>
        <v>3</v>
      </c>
      <c r="K19" s="106">
        <f t="shared" si="8"/>
        <v>3</v>
      </c>
      <c r="L19" s="106">
        <f t="shared" si="8"/>
        <v>3</v>
      </c>
      <c r="M19" s="106">
        <f t="shared" si="8"/>
        <v>3</v>
      </c>
      <c r="O19" s="106">
        <v>3</v>
      </c>
      <c r="P19" s="106">
        <v>3</v>
      </c>
      <c r="Q19" s="106">
        <v>3</v>
      </c>
      <c r="R19" s="106">
        <v>3</v>
      </c>
      <c r="S19" s="106">
        <v>3</v>
      </c>
      <c r="U19" s="106">
        <v>2.9997348886532342</v>
      </c>
      <c r="V19" s="106">
        <v>2.9997348886532342</v>
      </c>
      <c r="W19" s="106">
        <v>2.9997348886532342</v>
      </c>
      <c r="X19" s="106">
        <v>2.9997348886532342</v>
      </c>
      <c r="Y19" s="106">
        <v>2.9997348886532342</v>
      </c>
    </row>
    <row r="20" spans="2:25" x14ac:dyDescent="0.25">
      <c r="B20" s="100" t="s">
        <v>45</v>
      </c>
      <c r="C20" s="107">
        <f t="shared" si="7"/>
        <v>110</v>
      </c>
      <c r="D20" s="107">
        <f t="shared" si="7"/>
        <v>100</v>
      </c>
      <c r="E20" s="107">
        <f t="shared" si="7"/>
        <v>90</v>
      </c>
      <c r="F20" s="107">
        <f t="shared" si="7"/>
        <v>85</v>
      </c>
      <c r="G20" s="107">
        <f t="shared" si="7"/>
        <v>75</v>
      </c>
      <c r="H20" s="75"/>
      <c r="I20" s="108">
        <v>110</v>
      </c>
      <c r="J20" s="108">
        <v>100</v>
      </c>
      <c r="K20" s="108">
        <v>90</v>
      </c>
      <c r="L20" s="108">
        <v>85</v>
      </c>
      <c r="M20" s="108">
        <v>75</v>
      </c>
      <c r="O20" s="108">
        <v>120</v>
      </c>
      <c r="P20" s="108">
        <v>120</v>
      </c>
      <c r="Q20" s="108">
        <v>110</v>
      </c>
      <c r="R20" s="108">
        <v>105</v>
      </c>
      <c r="S20" s="108">
        <v>100</v>
      </c>
      <c r="U20" s="108">
        <v>120</v>
      </c>
      <c r="V20" s="108">
        <v>125</v>
      </c>
      <c r="W20" s="108">
        <v>135</v>
      </c>
      <c r="X20" s="108">
        <v>140</v>
      </c>
      <c r="Y20" s="108">
        <v>140</v>
      </c>
    </row>
    <row r="21" spans="2:25" x14ac:dyDescent="0.25">
      <c r="B21" s="100" t="s">
        <v>46</v>
      </c>
      <c r="C21" s="107">
        <f t="shared" si="7"/>
        <v>47.45</v>
      </c>
      <c r="D21" s="107">
        <f t="shared" si="7"/>
        <v>47.45</v>
      </c>
      <c r="E21" s="107">
        <f t="shared" si="7"/>
        <v>47.45</v>
      </c>
      <c r="F21" s="107">
        <f t="shared" si="7"/>
        <v>47.45</v>
      </c>
      <c r="G21" s="107">
        <f t="shared" si="7"/>
        <v>47.45</v>
      </c>
      <c r="H21" s="75"/>
      <c r="I21" s="108">
        <v>47.45</v>
      </c>
      <c r="J21" s="108">
        <v>47.45</v>
      </c>
      <c r="K21" s="108">
        <v>47.45</v>
      </c>
      <c r="L21" s="108">
        <v>47.45</v>
      </c>
      <c r="M21" s="108">
        <v>47.45</v>
      </c>
      <c r="O21" s="108">
        <v>47.45</v>
      </c>
      <c r="P21" s="108">
        <v>47.45</v>
      </c>
      <c r="Q21" s="108">
        <v>47.45</v>
      </c>
      <c r="R21" s="108">
        <v>47.45</v>
      </c>
      <c r="S21" s="108">
        <v>47.45</v>
      </c>
      <c r="U21" s="108">
        <v>47.45</v>
      </c>
      <c r="V21" s="108">
        <v>47.45</v>
      </c>
      <c r="W21" s="108">
        <v>47.45</v>
      </c>
      <c r="X21" s="108">
        <v>47.45</v>
      </c>
      <c r="Y21" s="108">
        <v>47.45</v>
      </c>
    </row>
    <row r="22" spans="2:25" x14ac:dyDescent="0.25">
      <c r="B22" s="100"/>
      <c r="C22" s="109"/>
      <c r="D22" s="109"/>
      <c r="E22" s="109"/>
      <c r="F22" s="109"/>
      <c r="G22" s="109"/>
      <c r="H22" s="75"/>
      <c r="I22" s="100"/>
      <c r="J22" s="100"/>
      <c r="K22" s="100"/>
      <c r="L22" s="100"/>
      <c r="M22" s="100"/>
      <c r="N22" s="100"/>
      <c r="O22" s="100"/>
      <c r="P22" s="100"/>
      <c r="Q22" s="100"/>
      <c r="R22" s="100"/>
      <c r="S22" s="100"/>
      <c r="T22" s="100"/>
      <c r="U22" s="100"/>
      <c r="V22" s="100"/>
      <c r="W22" s="100"/>
      <c r="X22" s="100"/>
      <c r="Y22" s="100"/>
    </row>
    <row r="23" spans="2:25" x14ac:dyDescent="0.25">
      <c r="B23" s="90" t="s">
        <v>47</v>
      </c>
      <c r="C23" s="109"/>
      <c r="D23" s="110"/>
      <c r="E23" s="109"/>
      <c r="F23" s="109"/>
      <c r="G23" s="109"/>
      <c r="H23" s="75"/>
      <c r="I23" s="111"/>
      <c r="J23" s="111"/>
      <c r="K23" s="111"/>
      <c r="L23" s="111"/>
      <c r="M23" s="111"/>
      <c r="O23" s="111"/>
      <c r="P23" s="111"/>
      <c r="Q23" s="111"/>
      <c r="R23" s="111"/>
      <c r="S23" s="111"/>
      <c r="U23" s="111"/>
      <c r="V23" s="111"/>
      <c r="W23" s="111"/>
      <c r="X23" s="111"/>
      <c r="Y23" s="111"/>
    </row>
    <row r="24" spans="2:25" x14ac:dyDescent="0.25">
      <c r="B24" s="85" t="s">
        <v>48</v>
      </c>
      <c r="C24" s="112">
        <f t="shared" ref="C24:G25" si="9">CHOOSE(MATCH($C$8,$B$44:$B$46,0),I24,O24,U24)</f>
        <v>3.5499999999999997E-2</v>
      </c>
      <c r="D24" s="112">
        <f t="shared" si="9"/>
        <v>0.04</v>
      </c>
      <c r="E24" s="112">
        <f t="shared" si="9"/>
        <v>4.4999999999999998E-2</v>
      </c>
      <c r="F24" s="112">
        <f t="shared" si="9"/>
        <v>0.05</v>
      </c>
      <c r="G24" s="112">
        <f t="shared" si="9"/>
        <v>5.5E-2</v>
      </c>
      <c r="H24" s="75"/>
      <c r="I24" s="113">
        <f>+O24</f>
        <v>3.5499999999999997E-2</v>
      </c>
      <c r="J24" s="113">
        <v>0.04</v>
      </c>
      <c r="K24" s="113">
        <v>4.4999999999999998E-2</v>
      </c>
      <c r="L24" s="113">
        <v>0.05</v>
      </c>
      <c r="M24" s="113">
        <v>5.5E-2</v>
      </c>
      <c r="O24" s="113">
        <v>3.5499999999999997E-2</v>
      </c>
      <c r="P24" s="113">
        <v>3.5499999999999997E-2</v>
      </c>
      <c r="Q24" s="113">
        <v>3.5499999999999997E-2</v>
      </c>
      <c r="R24" s="113">
        <v>3.5499999999999997E-2</v>
      </c>
      <c r="S24" s="113">
        <v>3.5499999999999997E-2</v>
      </c>
      <c r="U24" s="113">
        <f>+O24</f>
        <v>3.5499999999999997E-2</v>
      </c>
      <c r="V24" s="113">
        <v>0.03</v>
      </c>
      <c r="W24" s="113">
        <v>2.5000000000000001E-2</v>
      </c>
      <c r="X24" s="113">
        <v>0.02</v>
      </c>
      <c r="Y24" s="113">
        <v>0.02</v>
      </c>
    </row>
    <row r="25" spans="2:25" x14ac:dyDescent="0.25">
      <c r="B25" s="100" t="s">
        <v>49</v>
      </c>
      <c r="C25" s="96">
        <f t="shared" si="9"/>
        <v>1.1499999999999999</v>
      </c>
      <c r="D25" s="96">
        <f t="shared" si="9"/>
        <v>1</v>
      </c>
      <c r="E25" s="96">
        <f t="shared" si="9"/>
        <v>1</v>
      </c>
      <c r="F25" s="96">
        <f t="shared" si="9"/>
        <v>1</v>
      </c>
      <c r="G25" s="96">
        <f t="shared" si="9"/>
        <v>1</v>
      </c>
      <c r="H25" s="75"/>
      <c r="I25" s="114">
        <v>1.1499999999999999</v>
      </c>
      <c r="J25" s="114">
        <v>1</v>
      </c>
      <c r="K25" s="114">
        <v>1</v>
      </c>
      <c r="L25" s="114">
        <v>1</v>
      </c>
      <c r="M25" s="114">
        <v>1</v>
      </c>
      <c r="O25" s="115">
        <f>35.6/27.5</f>
        <v>1.2945454545454547</v>
      </c>
      <c r="P25" s="115">
        <f t="shared" ref="P25:S25" si="10">35.6/27.5</f>
        <v>1.2945454545454547</v>
      </c>
      <c r="Q25" s="115">
        <f t="shared" si="10"/>
        <v>1.2945454545454547</v>
      </c>
      <c r="R25" s="115">
        <f t="shared" si="10"/>
        <v>1.2945454545454547</v>
      </c>
      <c r="S25" s="115">
        <f t="shared" si="10"/>
        <v>1.2945454545454547</v>
      </c>
      <c r="U25" s="114">
        <f>+O25</f>
        <v>1.2945454545454547</v>
      </c>
      <c r="V25" s="114">
        <v>1.35</v>
      </c>
      <c r="W25" s="114">
        <v>1.4</v>
      </c>
      <c r="X25" s="114">
        <v>1.4</v>
      </c>
      <c r="Y25" s="114">
        <v>1.4</v>
      </c>
    </row>
    <row r="26" spans="2:25" x14ac:dyDescent="0.25">
      <c r="B26" s="100"/>
      <c r="C26" s="116"/>
      <c r="D26" s="116"/>
      <c r="E26" s="116"/>
      <c r="F26" s="116"/>
      <c r="G26" s="116"/>
      <c r="H26" s="75"/>
    </row>
    <row r="27" spans="2:25" x14ac:dyDescent="0.25">
      <c r="B27" s="90" t="s">
        <v>50</v>
      </c>
      <c r="C27" s="116"/>
      <c r="D27" s="116"/>
      <c r="E27" s="116"/>
      <c r="F27" s="116"/>
      <c r="G27" s="116"/>
      <c r="H27" s="75"/>
      <c r="I27" s="76"/>
      <c r="J27" s="76"/>
      <c r="K27" s="76"/>
      <c r="L27" s="75"/>
      <c r="M27" s="75"/>
      <c r="O27" s="76"/>
      <c r="P27" s="76"/>
      <c r="Q27" s="76"/>
      <c r="R27" s="75"/>
      <c r="S27" s="75"/>
      <c r="U27" s="76"/>
      <c r="V27" s="76"/>
      <c r="W27" s="76"/>
      <c r="X27" s="75"/>
      <c r="Y27" s="75"/>
    </row>
    <row r="28" spans="2:25" x14ac:dyDescent="0.25">
      <c r="B28" s="85" t="s">
        <v>51</v>
      </c>
      <c r="C28" s="112">
        <f t="shared" ref="C28:G29" si="11">CHOOSE(MATCH($C$8,$B$44:$B$46,0),I28,O28,U28)</f>
        <v>0.8</v>
      </c>
      <c r="D28" s="112">
        <f t="shared" si="11"/>
        <v>0.7</v>
      </c>
      <c r="E28" s="112">
        <f t="shared" si="11"/>
        <v>0.5</v>
      </c>
      <c r="F28" s="112">
        <f t="shared" si="11"/>
        <v>0.4</v>
      </c>
      <c r="G28" s="112">
        <f t="shared" si="11"/>
        <v>0.4</v>
      </c>
      <c r="H28" s="75"/>
      <c r="I28" s="117">
        <v>0.8</v>
      </c>
      <c r="J28" s="117">
        <v>0.7</v>
      </c>
      <c r="K28" s="117">
        <v>0.5</v>
      </c>
      <c r="L28" s="117">
        <v>0.4</v>
      </c>
      <c r="M28" s="117">
        <v>0.4</v>
      </c>
      <c r="O28" s="118">
        <v>0.9</v>
      </c>
      <c r="P28" s="118">
        <v>0.9</v>
      </c>
      <c r="Q28" s="118">
        <v>0.6</v>
      </c>
      <c r="R28" s="118">
        <v>0.5</v>
      </c>
      <c r="S28" s="118">
        <v>0.5</v>
      </c>
      <c r="U28" s="118">
        <f>+O28</f>
        <v>0.9</v>
      </c>
      <c r="V28" s="118">
        <v>0.5</v>
      </c>
      <c r="W28" s="118">
        <v>0</v>
      </c>
      <c r="X28" s="118">
        <v>0</v>
      </c>
      <c r="Y28" s="118">
        <v>0</v>
      </c>
    </row>
    <row r="29" spans="2:25" x14ac:dyDescent="0.25">
      <c r="B29" s="100" t="s">
        <v>52</v>
      </c>
      <c r="C29" s="107">
        <f t="shared" si="11"/>
        <v>100</v>
      </c>
      <c r="D29" s="107">
        <f t="shared" si="11"/>
        <v>100</v>
      </c>
      <c r="E29" s="107">
        <f t="shared" si="11"/>
        <v>100</v>
      </c>
      <c r="F29" s="107">
        <f t="shared" si="11"/>
        <v>100</v>
      </c>
      <c r="G29" s="107">
        <f t="shared" si="11"/>
        <v>100</v>
      </c>
      <c r="H29" s="75"/>
      <c r="I29" s="108">
        <f>+O29</f>
        <v>100</v>
      </c>
      <c r="J29" s="108">
        <f t="shared" ref="J29:M29" si="12">+P29</f>
        <v>100</v>
      </c>
      <c r="K29" s="108">
        <f t="shared" si="12"/>
        <v>100</v>
      </c>
      <c r="L29" s="108">
        <f t="shared" si="12"/>
        <v>100</v>
      </c>
      <c r="M29" s="108">
        <f t="shared" si="12"/>
        <v>100</v>
      </c>
      <c r="O29" s="108">
        <v>100</v>
      </c>
      <c r="P29" s="108">
        <v>100</v>
      </c>
      <c r="Q29" s="108">
        <v>100</v>
      </c>
      <c r="R29" s="108">
        <v>100</v>
      </c>
      <c r="S29" s="108">
        <v>100</v>
      </c>
      <c r="T29" s="119"/>
      <c r="U29" s="108">
        <f>+O29</f>
        <v>100</v>
      </c>
      <c r="V29" s="108">
        <f t="shared" ref="V29:Y29" si="13">+P29</f>
        <v>100</v>
      </c>
      <c r="W29" s="108">
        <f t="shared" si="13"/>
        <v>100</v>
      </c>
      <c r="X29" s="108">
        <f t="shared" si="13"/>
        <v>100</v>
      </c>
      <c r="Y29" s="108">
        <f t="shared" si="13"/>
        <v>100</v>
      </c>
    </row>
    <row r="30" spans="2:25" x14ac:dyDescent="0.25">
      <c r="B30" s="100"/>
      <c r="C30" s="116"/>
      <c r="D30" s="116"/>
      <c r="E30" s="116"/>
      <c r="F30" s="116"/>
      <c r="G30" s="116"/>
      <c r="H30" s="75"/>
    </row>
    <row r="31" spans="2:25" x14ac:dyDescent="0.25">
      <c r="B31" s="90" t="s">
        <v>53</v>
      </c>
      <c r="C31" s="116"/>
      <c r="D31" s="116"/>
      <c r="E31" s="116"/>
      <c r="F31" s="116"/>
      <c r="G31" s="116"/>
      <c r="H31" s="75"/>
      <c r="I31" s="75"/>
      <c r="J31" s="75"/>
      <c r="K31" s="75"/>
      <c r="L31" s="75"/>
      <c r="M31" s="75"/>
      <c r="O31" s="75"/>
      <c r="P31" s="75"/>
      <c r="Q31" s="75"/>
      <c r="R31" s="75"/>
      <c r="S31" s="75"/>
      <c r="U31" s="75"/>
      <c r="V31" s="75"/>
      <c r="W31" s="75"/>
      <c r="X31" s="75"/>
      <c r="Y31" s="75"/>
    </row>
    <row r="32" spans="2:25" x14ac:dyDescent="0.25">
      <c r="B32" s="85" t="s">
        <v>54</v>
      </c>
      <c r="C32" s="120">
        <f>CHOOSE(MATCH($C$8,$B$44:$B$46,0),I32,O32,U32)</f>
        <v>6.4000000000000001E-2</v>
      </c>
      <c r="D32" s="120">
        <f>CHOOSE(MATCH($C$8,$B$44:$B$46,0),J32,P32,V32)</f>
        <v>6.4000000000000001E-2</v>
      </c>
      <c r="E32" s="120">
        <f>CHOOSE(MATCH($C$8,$B$44:$B$46,0),K32,Q32,W32)</f>
        <v>6.4000000000000001E-2</v>
      </c>
      <c r="F32" s="120">
        <f>CHOOSE(MATCH($C$8,$B$44:$B$46,0),L32,R32,X32)</f>
        <v>6.4000000000000001E-2</v>
      </c>
      <c r="G32" s="120">
        <f>CHOOSE(MATCH($C$8,$B$44:$B$46,0),M32,S32,Y32)</f>
        <v>6.4000000000000001E-2</v>
      </c>
      <c r="H32" s="75"/>
      <c r="I32" s="121">
        <f>+O32</f>
        <v>6.4000000000000001E-2</v>
      </c>
      <c r="J32" s="121">
        <f t="shared" ref="J32:M32" si="14">+P32</f>
        <v>6.4000000000000001E-2</v>
      </c>
      <c r="K32" s="121">
        <f t="shared" si="14"/>
        <v>6.4000000000000001E-2</v>
      </c>
      <c r="L32" s="121">
        <f t="shared" si="14"/>
        <v>6.4000000000000001E-2</v>
      </c>
      <c r="M32" s="121">
        <f t="shared" si="14"/>
        <v>6.4000000000000001E-2</v>
      </c>
      <c r="O32" s="121">
        <v>6.4000000000000001E-2</v>
      </c>
      <c r="P32" s="121">
        <v>6.4000000000000001E-2</v>
      </c>
      <c r="Q32" s="121">
        <v>6.4000000000000001E-2</v>
      </c>
      <c r="R32" s="121">
        <v>6.4000000000000001E-2</v>
      </c>
      <c r="S32" s="121">
        <v>6.4000000000000001E-2</v>
      </c>
      <c r="U32" s="121">
        <f>+O32</f>
        <v>6.4000000000000001E-2</v>
      </c>
      <c r="V32" s="121">
        <f t="shared" ref="V32:Y32" si="15">+P32</f>
        <v>6.4000000000000001E-2</v>
      </c>
      <c r="W32" s="121">
        <f t="shared" si="15"/>
        <v>6.4000000000000001E-2</v>
      </c>
      <c r="X32" s="121">
        <f t="shared" si="15"/>
        <v>6.4000000000000001E-2</v>
      </c>
      <c r="Y32" s="121">
        <f t="shared" si="15"/>
        <v>6.4000000000000001E-2</v>
      </c>
    </row>
    <row r="33" spans="1:26" x14ac:dyDescent="0.25">
      <c r="B33" s="40"/>
      <c r="C33" s="116"/>
      <c r="D33" s="116"/>
      <c r="E33" s="116"/>
      <c r="F33" s="116"/>
      <c r="G33" s="116"/>
      <c r="I33" s="122"/>
      <c r="J33" s="122"/>
      <c r="K33" s="122"/>
      <c r="L33" s="122"/>
      <c r="M33" s="122"/>
    </row>
    <row r="34" spans="1:26" x14ac:dyDescent="0.25">
      <c r="B34" s="90" t="s">
        <v>55</v>
      </c>
      <c r="C34" s="116"/>
      <c r="D34" s="116"/>
      <c r="E34" s="116"/>
      <c r="F34" s="116"/>
      <c r="G34" s="116"/>
      <c r="H34" s="75"/>
      <c r="I34" s="75"/>
      <c r="J34" s="75"/>
      <c r="K34" s="75"/>
      <c r="L34" s="75"/>
      <c r="M34" s="75"/>
      <c r="N34" s="75"/>
      <c r="O34" s="75"/>
      <c r="P34" s="75"/>
      <c r="Q34" s="75"/>
      <c r="R34" s="75"/>
      <c r="S34" s="75"/>
      <c r="T34" s="75"/>
      <c r="U34" s="75"/>
      <c r="V34" s="75"/>
      <c r="W34" s="75"/>
      <c r="X34" s="75"/>
      <c r="Y34" s="75"/>
      <c r="Z34" s="75"/>
    </row>
    <row r="35" spans="1:26" x14ac:dyDescent="0.25">
      <c r="A35" s="7" t="s">
        <v>1</v>
      </c>
      <c r="B35" s="85" t="s">
        <v>54</v>
      </c>
      <c r="C35" s="120">
        <f>CHOOSE(MATCH($C$8,$B$44:$B$46,0),I35,O35,U35)</f>
        <v>6.0000000000000001E-3</v>
      </c>
      <c r="D35" s="120">
        <f>CHOOSE(MATCH($C$8,$B$44:$B$46,0),J35,P35,V35)</f>
        <v>6.0000000000000001E-3</v>
      </c>
      <c r="E35" s="120">
        <f>CHOOSE(MATCH($C$8,$B$44:$B$46,0),K35,Q35,W35)</f>
        <v>6.0000000000000001E-3</v>
      </c>
      <c r="F35" s="120">
        <f>CHOOSE(MATCH($C$8,$B$44:$B$46,0),L35,R35,X35)</f>
        <v>6.0000000000000001E-3</v>
      </c>
      <c r="G35" s="120">
        <f>CHOOSE(MATCH($C$8,$B$44:$B$46,0),M35,S35,Y35)</f>
        <v>6.0000000000000001E-3</v>
      </c>
      <c r="H35" s="75"/>
      <c r="I35" s="118">
        <f>+O35</f>
        <v>6.0000000000000001E-3</v>
      </c>
      <c r="J35" s="118">
        <f t="shared" ref="J35:M35" si="16">+P35</f>
        <v>6.0000000000000001E-3</v>
      </c>
      <c r="K35" s="118">
        <f t="shared" si="16"/>
        <v>6.0000000000000001E-3</v>
      </c>
      <c r="L35" s="118">
        <f t="shared" si="16"/>
        <v>6.0000000000000001E-3</v>
      </c>
      <c r="M35" s="118">
        <f t="shared" si="16"/>
        <v>6.0000000000000001E-3</v>
      </c>
      <c r="O35" s="118">
        <v>6.0000000000000001E-3</v>
      </c>
      <c r="P35" s="118">
        <v>6.0000000000000001E-3</v>
      </c>
      <c r="Q35" s="118">
        <v>6.0000000000000001E-3</v>
      </c>
      <c r="R35" s="118">
        <v>6.0000000000000001E-3</v>
      </c>
      <c r="S35" s="118">
        <v>6.0000000000000001E-3</v>
      </c>
      <c r="U35" s="118">
        <f>+O35</f>
        <v>6.0000000000000001E-3</v>
      </c>
      <c r="V35" s="118">
        <f t="shared" ref="V35:Y35" si="17">+P35</f>
        <v>6.0000000000000001E-3</v>
      </c>
      <c r="W35" s="118">
        <f t="shared" si="17"/>
        <v>6.0000000000000001E-3</v>
      </c>
      <c r="X35" s="118">
        <f t="shared" si="17"/>
        <v>6.0000000000000001E-3</v>
      </c>
      <c r="Y35" s="118">
        <f t="shared" si="17"/>
        <v>6.0000000000000001E-3</v>
      </c>
    </row>
    <row r="36" spans="1:26" ht="15.75" x14ac:dyDescent="0.25">
      <c r="B36" s="123"/>
      <c r="C36" s="116"/>
      <c r="D36" s="116"/>
      <c r="E36" s="116"/>
      <c r="F36" s="116"/>
      <c r="G36" s="116"/>
      <c r="H36" s="75"/>
      <c r="I36" s="75"/>
      <c r="J36" s="75"/>
      <c r="K36" s="75"/>
      <c r="L36" s="75"/>
      <c r="M36" s="75"/>
      <c r="N36" s="75"/>
      <c r="O36" s="75"/>
      <c r="P36" s="75"/>
      <c r="T36" s="75"/>
      <c r="Z36" s="75"/>
    </row>
    <row r="37" spans="1:26" x14ac:dyDescent="0.25">
      <c r="B37" s="90" t="s">
        <v>56</v>
      </c>
      <c r="C37" s="116"/>
      <c r="D37" s="116"/>
      <c r="E37" s="116"/>
      <c r="F37" s="116"/>
      <c r="G37" s="116"/>
      <c r="H37" s="75"/>
      <c r="I37" s="75"/>
      <c r="J37" s="75"/>
      <c r="K37" s="75"/>
      <c r="L37" s="75"/>
      <c r="M37" s="75"/>
      <c r="N37" s="75"/>
      <c r="O37" s="75"/>
      <c r="P37" s="75"/>
      <c r="Q37" s="75"/>
      <c r="R37" s="75"/>
      <c r="S37" s="75"/>
      <c r="T37" s="75"/>
      <c r="U37" s="75"/>
      <c r="V37" s="75"/>
      <c r="W37" s="75"/>
      <c r="X37" s="75"/>
      <c r="Y37" s="75"/>
      <c r="Z37" s="75"/>
    </row>
    <row r="38" spans="1:26" x14ac:dyDescent="0.25">
      <c r="A38" s="7"/>
      <c r="B38" s="85" t="s">
        <v>57</v>
      </c>
      <c r="C38" s="120">
        <f>CHOOSE(MATCH($C$8,$B$44:$B$46,0),I38,O38,U38)</f>
        <v>8.0000000000000004E-4</v>
      </c>
      <c r="D38" s="120">
        <f>CHOOSE(MATCH($C$8,$B$44:$B$46,0),J38,P38,V38)</f>
        <v>8.0000000000000004E-4</v>
      </c>
      <c r="E38" s="120">
        <f>CHOOSE(MATCH($C$8,$B$44:$B$46,0),K38,Q38,W38)</f>
        <v>8.0000000000000004E-4</v>
      </c>
      <c r="F38" s="120">
        <f>CHOOSE(MATCH($C$8,$B$44:$B$46,0),L38,R38,X38)</f>
        <v>8.0000000000000004E-4</v>
      </c>
      <c r="G38" s="120">
        <f>CHOOSE(MATCH($C$8,$B$44:$B$46,0),M38,S38,Y38)</f>
        <v>8.0000000000000004E-4</v>
      </c>
      <c r="H38" s="75"/>
      <c r="I38" s="124">
        <f>+O38</f>
        <v>8.0000000000000004E-4</v>
      </c>
      <c r="J38" s="124">
        <f t="shared" ref="J38:M38" si="18">+P38</f>
        <v>8.0000000000000004E-4</v>
      </c>
      <c r="K38" s="124">
        <f t="shared" si="18"/>
        <v>8.0000000000000004E-4</v>
      </c>
      <c r="L38" s="124">
        <f t="shared" si="18"/>
        <v>8.0000000000000004E-4</v>
      </c>
      <c r="M38" s="124">
        <f t="shared" si="18"/>
        <v>8.0000000000000004E-4</v>
      </c>
      <c r="O38" s="124">
        <v>8.0000000000000004E-4</v>
      </c>
      <c r="P38" s="124">
        <v>8.0000000000000004E-4</v>
      </c>
      <c r="Q38" s="124">
        <v>8.0000000000000004E-4</v>
      </c>
      <c r="R38" s="124">
        <v>8.0000000000000004E-4</v>
      </c>
      <c r="S38" s="124">
        <v>8.0000000000000004E-4</v>
      </c>
      <c r="U38" s="124">
        <f>+O38</f>
        <v>8.0000000000000004E-4</v>
      </c>
      <c r="V38" s="124">
        <f t="shared" ref="V38:Y38" si="19">+P38</f>
        <v>8.0000000000000004E-4</v>
      </c>
      <c r="W38" s="124">
        <f t="shared" si="19"/>
        <v>8.0000000000000004E-4</v>
      </c>
      <c r="X38" s="124">
        <f t="shared" si="19"/>
        <v>8.0000000000000004E-4</v>
      </c>
      <c r="Y38" s="124">
        <f t="shared" si="19"/>
        <v>8.0000000000000004E-4</v>
      </c>
    </row>
    <row r="39" spans="1:26" x14ac:dyDescent="0.25">
      <c r="A39" s="7"/>
      <c r="B39" s="100"/>
      <c r="C39" s="75"/>
      <c r="D39" s="75"/>
      <c r="E39" s="75"/>
      <c r="F39" s="75"/>
      <c r="G39" s="75"/>
      <c r="H39" s="75"/>
      <c r="I39" s="75"/>
      <c r="J39" s="75"/>
      <c r="K39" s="75"/>
      <c r="L39" s="75"/>
      <c r="M39" s="75"/>
      <c r="N39" s="75"/>
      <c r="O39" s="75"/>
      <c r="P39" s="75"/>
      <c r="Q39" s="75"/>
      <c r="R39" s="75"/>
      <c r="S39" s="75"/>
      <c r="T39" s="75"/>
      <c r="U39" s="75"/>
      <c r="V39" s="75"/>
      <c r="W39" s="75"/>
      <c r="X39" s="75"/>
      <c r="Y39" s="75"/>
    </row>
    <row r="40" spans="1:26" x14ac:dyDescent="0.25">
      <c r="B40" s="90" t="s">
        <v>58</v>
      </c>
      <c r="C40" s="125"/>
      <c r="D40" s="75"/>
      <c r="E40" s="75"/>
      <c r="F40" s="75"/>
      <c r="G40" s="75"/>
      <c r="H40" s="75"/>
      <c r="I40" s="75"/>
      <c r="J40" s="75"/>
      <c r="K40" s="75"/>
      <c r="L40" s="75"/>
      <c r="M40" s="75"/>
      <c r="N40" s="75"/>
      <c r="O40" s="75"/>
      <c r="P40" s="75"/>
      <c r="T40" s="75"/>
      <c r="Z40" s="75"/>
    </row>
    <row r="41" spans="1:26" x14ac:dyDescent="0.25">
      <c r="B41" s="85" t="s">
        <v>59</v>
      </c>
      <c r="C41" s="126"/>
      <c r="D41" s="126"/>
      <c r="E41" s="126"/>
      <c r="F41" s="126"/>
      <c r="G41" s="127">
        <f>+CHOOSE(MATCH($C$8,$B$44:$B$46,0),M41,S41,Y41)</f>
        <v>7</v>
      </c>
      <c r="H41" s="75"/>
      <c r="I41" s="128"/>
      <c r="J41" s="128"/>
      <c r="K41" s="128"/>
      <c r="L41" s="128"/>
      <c r="M41" s="129">
        <v>7</v>
      </c>
      <c r="N41" s="75"/>
      <c r="O41" s="128"/>
      <c r="P41" s="128"/>
      <c r="Q41" s="128"/>
      <c r="R41" s="128"/>
      <c r="S41" s="129">
        <v>4.9000000000000004</v>
      </c>
      <c r="T41" s="75"/>
      <c r="U41" s="128"/>
      <c r="V41" s="128"/>
      <c r="W41" s="128"/>
      <c r="X41" s="128"/>
      <c r="Y41" s="129">
        <v>1.5</v>
      </c>
      <c r="Z41" s="75"/>
    </row>
    <row r="42" spans="1:26" ht="15.75" x14ac:dyDescent="0.25">
      <c r="B42" s="123"/>
      <c r="C42" s="125"/>
      <c r="D42" s="75"/>
      <c r="E42" s="75"/>
      <c r="F42" s="75"/>
      <c r="G42" s="75"/>
      <c r="H42" s="75"/>
      <c r="I42" s="75"/>
      <c r="J42" s="75"/>
      <c r="K42" s="75"/>
      <c r="L42" s="75"/>
      <c r="M42" s="75"/>
      <c r="N42" s="75"/>
      <c r="O42" s="75"/>
      <c r="P42" s="75"/>
      <c r="T42" s="75"/>
      <c r="Z42" s="75"/>
    </row>
    <row r="43" spans="1:26" x14ac:dyDescent="0.25">
      <c r="B43" s="130" t="s">
        <v>60</v>
      </c>
      <c r="C43" s="131"/>
      <c r="D43" s="132"/>
      <c r="E43" s="132"/>
      <c r="F43" s="132"/>
      <c r="G43" s="132"/>
      <c r="H43" s="132"/>
      <c r="I43" s="132"/>
      <c r="J43" s="75"/>
      <c r="K43" s="75"/>
      <c r="L43" s="75"/>
      <c r="M43" s="75"/>
      <c r="N43" s="75"/>
      <c r="O43" s="75"/>
      <c r="P43" s="75"/>
      <c r="T43" s="75"/>
      <c r="Z43" s="75"/>
    </row>
    <row r="44" spans="1:26" x14ac:dyDescent="0.25">
      <c r="B44" s="133" t="s">
        <v>37</v>
      </c>
      <c r="C44" s="75"/>
      <c r="D44" s="131"/>
      <c r="E44" s="131"/>
      <c r="F44" s="131"/>
      <c r="G44" s="131"/>
      <c r="H44" s="131"/>
      <c r="I44" s="131"/>
      <c r="J44" s="75"/>
      <c r="K44" s="75"/>
      <c r="L44" s="75"/>
      <c r="M44" s="75"/>
      <c r="N44" s="75"/>
      <c r="O44" s="75"/>
      <c r="P44" s="75"/>
      <c r="T44" s="75"/>
      <c r="Z44" s="75"/>
    </row>
    <row r="45" spans="1:26" x14ac:dyDescent="0.25">
      <c r="B45" s="134" t="s">
        <v>61</v>
      </c>
      <c r="C45" s="75"/>
      <c r="D45" s="131"/>
      <c r="E45" s="131"/>
      <c r="F45" s="131"/>
      <c r="G45" s="131"/>
      <c r="H45" s="131"/>
      <c r="I45" s="131"/>
      <c r="J45" s="75"/>
      <c r="K45" s="75"/>
      <c r="L45" s="75"/>
      <c r="M45" s="75"/>
      <c r="N45" s="75"/>
      <c r="O45" s="75"/>
      <c r="P45" s="75"/>
      <c r="T45" s="75"/>
      <c r="Z45" s="75"/>
    </row>
    <row r="46" spans="1:26" x14ac:dyDescent="0.25">
      <c r="A46" s="7" t="s">
        <v>1</v>
      </c>
      <c r="B46" s="135" t="s">
        <v>62</v>
      </c>
      <c r="C46" s="75"/>
      <c r="D46" s="131"/>
      <c r="E46" s="131"/>
      <c r="F46" s="131"/>
      <c r="G46" s="131"/>
      <c r="H46" s="131"/>
      <c r="I46" s="131"/>
      <c r="J46" s="75"/>
      <c r="K46" s="75"/>
      <c r="L46" s="75"/>
      <c r="M46" s="75"/>
      <c r="N46" s="75"/>
      <c r="O46" s="75"/>
      <c r="P46" s="75"/>
      <c r="T46" s="75"/>
      <c r="Z46" s="75"/>
    </row>
    <row r="47" spans="1:26" x14ac:dyDescent="0.25">
      <c r="B47" s="75"/>
      <c r="C47" s="136"/>
      <c r="D47" s="131"/>
      <c r="E47" s="131"/>
      <c r="F47" s="131"/>
      <c r="G47" s="131"/>
      <c r="H47" s="131"/>
      <c r="I47" s="131"/>
      <c r="J47" s="75"/>
      <c r="K47" s="75"/>
      <c r="L47" s="75"/>
      <c r="M47" s="75"/>
      <c r="N47" s="75"/>
      <c r="O47" s="75"/>
      <c r="P47" s="75"/>
      <c r="T47" s="75"/>
      <c r="Z47" s="75"/>
    </row>
    <row r="48" spans="1:26" x14ac:dyDescent="0.25">
      <c r="B48" s="75"/>
      <c r="C48" s="75"/>
      <c r="D48" s="75"/>
      <c r="E48" s="75"/>
      <c r="F48" s="75"/>
      <c r="G48" s="75"/>
      <c r="H48" s="75"/>
      <c r="I48" s="75"/>
      <c r="J48" s="75"/>
      <c r="K48" s="75"/>
      <c r="L48" s="75"/>
      <c r="M48" s="75"/>
      <c r="N48" s="75"/>
      <c r="O48" s="75"/>
      <c r="P48" s="75"/>
      <c r="T48" s="75"/>
      <c r="Z48" s="75"/>
    </row>
    <row r="49" spans="2:26" x14ac:dyDescent="0.25">
      <c r="B49" s="75"/>
      <c r="C49" s="75"/>
      <c r="D49" s="75"/>
      <c r="E49" s="75"/>
      <c r="F49" s="75"/>
      <c r="G49" s="75"/>
      <c r="H49" s="75"/>
      <c r="I49" s="75"/>
      <c r="J49" s="75"/>
      <c r="K49" s="75"/>
      <c r="L49" s="75"/>
      <c r="M49" s="75"/>
      <c r="N49" s="75"/>
      <c r="O49" s="75"/>
      <c r="P49" s="75"/>
      <c r="T49" s="75"/>
      <c r="Z49" s="75"/>
    </row>
    <row r="51" spans="2:26" x14ac:dyDescent="0.25">
      <c r="B51" t="s">
        <v>63</v>
      </c>
    </row>
    <row r="52" spans="2:26" x14ac:dyDescent="0.25">
      <c r="B52" s="137" t="s">
        <v>64</v>
      </c>
      <c r="C52" t="s">
        <v>65</v>
      </c>
      <c r="D52" t="s">
        <v>66</v>
      </c>
      <c r="E52" t="s">
        <v>67</v>
      </c>
      <c r="F52" t="s">
        <v>68</v>
      </c>
    </row>
    <row r="53" spans="2:26" x14ac:dyDescent="0.25">
      <c r="B53" s="122" t="s">
        <v>69</v>
      </c>
      <c r="C53" s="108">
        <v>5.3</v>
      </c>
      <c r="D53" s="117">
        <v>6.4000000000000001E-2</v>
      </c>
      <c r="E53">
        <f>+C53/$C$61</f>
        <v>1</v>
      </c>
      <c r="F53" s="138">
        <f>+E53*D53</f>
        <v>6.4000000000000001E-2</v>
      </c>
    </row>
    <row r="54" spans="2:26" x14ac:dyDescent="0.25">
      <c r="B54" s="122"/>
      <c r="C54" s="108"/>
      <c r="D54" s="117"/>
      <c r="E54">
        <f t="shared" ref="E54:E59" si="20">+C54/$C$61</f>
        <v>0</v>
      </c>
      <c r="F54" s="138">
        <f t="shared" ref="F54:F59" si="21">+E54*D54</f>
        <v>0</v>
      </c>
    </row>
    <row r="55" spans="2:26" x14ac:dyDescent="0.25">
      <c r="B55" s="122"/>
      <c r="C55" s="108"/>
      <c r="D55" s="117"/>
      <c r="E55">
        <f t="shared" si="20"/>
        <v>0</v>
      </c>
      <c r="F55" s="138">
        <f t="shared" si="21"/>
        <v>0</v>
      </c>
    </row>
    <row r="56" spans="2:26" x14ac:dyDescent="0.25">
      <c r="B56" s="122"/>
      <c r="C56" s="108"/>
      <c r="D56" s="114"/>
      <c r="E56">
        <f t="shared" si="20"/>
        <v>0</v>
      </c>
      <c r="F56" s="138">
        <f t="shared" si="21"/>
        <v>0</v>
      </c>
    </row>
    <row r="57" spans="2:26" x14ac:dyDescent="0.25">
      <c r="B57" s="122"/>
      <c r="C57" s="108"/>
      <c r="D57" s="114"/>
      <c r="E57">
        <f t="shared" si="20"/>
        <v>0</v>
      </c>
      <c r="F57" s="138">
        <f t="shared" si="21"/>
        <v>0</v>
      </c>
    </row>
    <row r="58" spans="2:26" x14ac:dyDescent="0.25">
      <c r="B58" s="122"/>
      <c r="C58" s="108"/>
      <c r="D58" s="114"/>
      <c r="E58">
        <f t="shared" si="20"/>
        <v>0</v>
      </c>
      <c r="F58" s="138">
        <f t="shared" si="21"/>
        <v>0</v>
      </c>
    </row>
    <row r="59" spans="2:26" x14ac:dyDescent="0.25">
      <c r="B59" s="122"/>
      <c r="C59" s="108"/>
      <c r="D59" s="114"/>
      <c r="E59">
        <f t="shared" si="20"/>
        <v>0</v>
      </c>
      <c r="F59" s="138">
        <f t="shared" si="21"/>
        <v>0</v>
      </c>
    </row>
    <row r="61" spans="2:26" x14ac:dyDescent="0.25">
      <c r="B61" t="s">
        <v>70</v>
      </c>
      <c r="C61">
        <f>SUM(C53:C60)</f>
        <v>5.3</v>
      </c>
      <c r="F61" s="139">
        <f>SUM(F53:F60)</f>
        <v>6.4000000000000001E-2</v>
      </c>
      <c r="G61" t="s">
        <v>71</v>
      </c>
    </row>
  </sheetData>
  <sheetProtection algorithmName="SHA-512" hashValue="R4mfULTEFwX9MC3ayqjBbsZxMhbxji5iNVbLqYDQJX636l8g8lpBc5+jCy5FiQbx4vGlt+OzBvuexgQlRt0uGw==" saltValue="ZMk8T2WV9gfWH4CfofFN2Q==" spinCount="100000" sheet="1" objects="1" scenarios="1"/>
  <dataValidations count="1">
    <dataValidation type="list" allowBlank="1" showInputMessage="1" showErrorMessage="1" sqref="C8">
      <formula1>$B$44:$B$46</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X239"/>
  <sheetViews>
    <sheetView topLeftCell="A79" zoomScaleNormal="100" workbookViewId="0">
      <selection activeCell="C30" sqref="C30"/>
    </sheetView>
  </sheetViews>
  <sheetFormatPr defaultColWidth="9.140625" defaultRowHeight="15" x14ac:dyDescent="0.25"/>
  <cols>
    <col min="1" max="1" width="1.7109375" style="275" customWidth="1"/>
    <col min="2" max="2" width="49.28515625" bestFit="1" customWidth="1"/>
    <col min="3" max="3" width="10.7109375" customWidth="1"/>
    <col min="4" max="4" width="11" customWidth="1"/>
    <col min="5" max="5" width="11.85546875" customWidth="1"/>
    <col min="6" max="6" width="10.7109375" customWidth="1"/>
    <col min="7" max="7" width="11.140625" customWidth="1"/>
    <col min="8" max="8" width="12.85546875" customWidth="1"/>
    <col min="9" max="9" width="13.28515625" customWidth="1"/>
    <col min="10" max="10" width="12.85546875" customWidth="1"/>
    <col min="11" max="13" width="2" customWidth="1"/>
    <col min="19" max="19" width="10.7109375" customWidth="1"/>
  </cols>
  <sheetData>
    <row r="1" spans="1:24" ht="23.25" x14ac:dyDescent="0.35">
      <c r="A1" s="1"/>
      <c r="B1" s="2" t="s">
        <v>72</v>
      </c>
      <c r="C1" s="61"/>
      <c r="D1" s="76"/>
      <c r="E1" s="76"/>
      <c r="F1" s="76"/>
      <c r="G1" s="76"/>
      <c r="H1" s="76"/>
      <c r="I1" s="76"/>
      <c r="J1" s="76"/>
      <c r="K1" s="76"/>
      <c r="L1" s="76"/>
      <c r="M1" s="76"/>
      <c r="N1" s="76"/>
    </row>
    <row r="2" spans="1:24" s="63" customFormat="1" ht="15.75" x14ac:dyDescent="0.25">
      <c r="A2" s="1"/>
      <c r="B2" s="62" t="str">
        <f>'Cover Sheet'!C5</f>
        <v>Reitmans (CANADA) Limited</v>
      </c>
      <c r="D2" s="64"/>
      <c r="E2" s="64"/>
      <c r="F2" s="64"/>
      <c r="G2" s="64"/>
      <c r="H2" s="64"/>
      <c r="I2" s="64"/>
      <c r="J2" s="64"/>
      <c r="K2" s="64"/>
      <c r="L2" s="64"/>
      <c r="M2" s="64"/>
    </row>
    <row r="3" spans="1:24" s="63" customFormat="1" ht="15.75" x14ac:dyDescent="0.25">
      <c r="A3" s="1"/>
      <c r="B3" s="62" t="str">
        <f>Assumptions!B3</f>
        <v>Best Case</v>
      </c>
      <c r="D3" s="64"/>
      <c r="E3" s="64"/>
      <c r="F3" s="64"/>
      <c r="G3" s="64"/>
      <c r="H3" s="64"/>
      <c r="I3" s="64"/>
      <c r="J3" s="64"/>
      <c r="K3" s="64"/>
      <c r="L3" s="64"/>
      <c r="M3" s="64"/>
    </row>
    <row r="4" spans="1:24" s="63" customFormat="1" ht="15.75" x14ac:dyDescent="0.25">
      <c r="A4" s="1"/>
      <c r="B4" s="64"/>
      <c r="C4" s="64"/>
      <c r="D4" s="64"/>
      <c r="E4" s="64"/>
      <c r="F4" s="140"/>
      <c r="G4" s="64"/>
      <c r="H4" s="64"/>
      <c r="I4" s="64"/>
      <c r="J4" s="64"/>
      <c r="K4" s="64"/>
      <c r="L4" s="64"/>
      <c r="M4" s="64"/>
      <c r="N4" s="64"/>
      <c r="O4" s="64"/>
      <c r="P4" s="64"/>
      <c r="Q4" s="64"/>
      <c r="R4" s="64"/>
    </row>
    <row r="5" spans="1:24" s="63" customFormat="1" ht="15.75" x14ac:dyDescent="0.25">
      <c r="A5" s="1"/>
      <c r="B5" s="64"/>
      <c r="C5" s="64"/>
      <c r="D5" s="64"/>
      <c r="E5" s="64"/>
      <c r="F5" s="64"/>
      <c r="G5" s="64"/>
      <c r="H5" s="64"/>
      <c r="I5" s="64"/>
      <c r="J5" s="64"/>
      <c r="K5" s="64"/>
      <c r="L5" s="64"/>
      <c r="M5" s="64"/>
      <c r="N5" s="64"/>
      <c r="O5" s="64"/>
      <c r="P5" s="64"/>
      <c r="Q5" s="64"/>
      <c r="R5" s="64"/>
    </row>
    <row r="6" spans="1:24" ht="19.5" thickBot="1" x14ac:dyDescent="0.35">
      <c r="A6" s="7" t="s">
        <v>1</v>
      </c>
      <c r="B6" s="67" t="s">
        <v>73</v>
      </c>
      <c r="C6" s="67"/>
      <c r="D6" s="67"/>
      <c r="E6" s="67"/>
      <c r="F6" s="67"/>
      <c r="G6" s="67"/>
      <c r="H6" s="67"/>
      <c r="I6" s="141"/>
      <c r="J6" s="141"/>
      <c r="K6" s="142"/>
      <c r="L6" s="142"/>
      <c r="M6" s="142"/>
      <c r="N6" s="142"/>
    </row>
    <row r="7" spans="1:24" x14ac:dyDescent="0.25">
      <c r="A7" s="1"/>
      <c r="B7" s="143" t="s">
        <v>74</v>
      </c>
      <c r="C7" s="144" t="s">
        <v>75</v>
      </c>
      <c r="D7" s="145"/>
      <c r="E7" s="146"/>
      <c r="F7" s="147" t="s">
        <v>76</v>
      </c>
      <c r="G7" s="148"/>
      <c r="H7" s="148"/>
      <c r="I7" s="149"/>
      <c r="J7" s="150"/>
      <c r="K7" s="75"/>
      <c r="L7" s="75"/>
      <c r="M7" s="75"/>
      <c r="S7" s="151"/>
      <c r="T7" s="151"/>
      <c r="U7" s="151"/>
      <c r="V7" s="152"/>
      <c r="W7" s="151"/>
      <c r="X7" s="151"/>
    </row>
    <row r="8" spans="1:24" ht="15.75" x14ac:dyDescent="0.25">
      <c r="A8" s="1"/>
      <c r="B8" s="76"/>
      <c r="C8" s="153">
        <f>D8-1</f>
        <v>2013</v>
      </c>
      <c r="D8" s="153">
        <f>E8-1</f>
        <v>2014</v>
      </c>
      <c r="E8" s="154">
        <f>YEAR('Cover Sheet'!C8)</f>
        <v>2015</v>
      </c>
      <c r="F8" s="155">
        <f>E8+1</f>
        <v>2016</v>
      </c>
      <c r="G8" s="155">
        <f t="shared" ref="G8:J8" si="0">F8+1</f>
        <v>2017</v>
      </c>
      <c r="H8" s="155">
        <f t="shared" si="0"/>
        <v>2018</v>
      </c>
      <c r="I8" s="155">
        <f t="shared" si="0"/>
        <v>2019</v>
      </c>
      <c r="J8" s="155">
        <f t="shared" si="0"/>
        <v>2020</v>
      </c>
      <c r="S8" s="156"/>
      <c r="T8" s="157"/>
      <c r="U8" s="157"/>
      <c r="V8" s="158"/>
      <c r="W8" s="152"/>
      <c r="X8" s="151"/>
    </row>
    <row r="9" spans="1:24" x14ac:dyDescent="0.25">
      <c r="A9" s="1"/>
      <c r="B9" s="75" t="s">
        <v>77</v>
      </c>
      <c r="C9" s="108">
        <v>1000.5</v>
      </c>
      <c r="D9" s="108">
        <v>960.4</v>
      </c>
      <c r="E9" s="108">
        <v>939.4</v>
      </c>
      <c r="F9" s="159">
        <f t="shared" ref="F9:J9" ca="1" si="1">+E9*(1+F33)</f>
        <v>945.03639999999996</v>
      </c>
      <c r="G9" s="159">
        <f t="shared" ca="1" si="1"/>
        <v>945.03639999999996</v>
      </c>
      <c r="H9" s="159">
        <f t="shared" ca="1" si="1"/>
        <v>954.48676399999999</v>
      </c>
      <c r="I9" s="159">
        <f t="shared" ca="1" si="1"/>
        <v>968.80406545999995</v>
      </c>
      <c r="J9" s="159">
        <f t="shared" ca="1" si="1"/>
        <v>983.33612644189986</v>
      </c>
      <c r="S9" s="152"/>
      <c r="T9" s="160"/>
      <c r="U9" s="160"/>
      <c r="V9" s="160"/>
      <c r="W9" s="152"/>
      <c r="X9" s="151"/>
    </row>
    <row r="10" spans="1:24" x14ac:dyDescent="0.25">
      <c r="A10" s="1"/>
      <c r="B10" s="76" t="s">
        <v>78</v>
      </c>
      <c r="C10" s="161">
        <v>-372.1</v>
      </c>
      <c r="D10" s="161">
        <v>-365.5</v>
      </c>
      <c r="E10" s="161">
        <v>-372</v>
      </c>
      <c r="F10" s="162">
        <f t="shared" ref="F10:J10" ca="1" si="2">+F9*F34*-1</f>
        <v>-403.53054279999998</v>
      </c>
      <c r="G10" s="162">
        <f t="shared" ca="1" si="2"/>
        <v>-387.46492399999994</v>
      </c>
      <c r="H10" s="162">
        <f t="shared" ca="1" si="2"/>
        <v>-386.56713942000005</v>
      </c>
      <c r="I10" s="162">
        <f t="shared" ca="1" si="2"/>
        <v>-387.52162618400001</v>
      </c>
      <c r="J10" s="162">
        <f t="shared" ca="1" si="2"/>
        <v>-393.33445057675999</v>
      </c>
      <c r="Q10" s="75"/>
      <c r="R10" s="75"/>
      <c r="S10" s="152"/>
      <c r="T10" s="163"/>
      <c r="U10" s="163"/>
      <c r="V10" s="163"/>
      <c r="W10" s="152"/>
      <c r="X10" s="151"/>
    </row>
    <row r="11" spans="1:24" x14ac:dyDescent="0.25">
      <c r="A11" s="1"/>
      <c r="B11" s="164" t="s">
        <v>79</v>
      </c>
      <c r="C11" s="165">
        <f>SUM(C9:C10)</f>
        <v>628.4</v>
      </c>
      <c r="D11" s="165">
        <f t="shared" ref="D11:J11" si="3">SUM(D9:D10)</f>
        <v>594.9</v>
      </c>
      <c r="E11" s="165">
        <f t="shared" si="3"/>
        <v>567.4</v>
      </c>
      <c r="F11" s="165">
        <f t="shared" ca="1" si="3"/>
        <v>541.50585720000004</v>
      </c>
      <c r="G11" s="165">
        <f t="shared" ca="1" si="3"/>
        <v>557.57147600000008</v>
      </c>
      <c r="H11" s="165">
        <f t="shared" ca="1" si="3"/>
        <v>567.91962457999989</v>
      </c>
      <c r="I11" s="165">
        <f t="shared" ca="1" si="3"/>
        <v>581.28243927599988</v>
      </c>
      <c r="J11" s="165">
        <f t="shared" ca="1" si="3"/>
        <v>590.00167586513987</v>
      </c>
      <c r="P11" s="75"/>
      <c r="Q11" s="166"/>
      <c r="R11" s="166"/>
      <c r="S11" s="152"/>
      <c r="T11" s="163"/>
      <c r="U11" s="163"/>
      <c r="V11" s="163"/>
      <c r="W11" s="152"/>
      <c r="X11" s="151"/>
    </row>
    <row r="12" spans="1:24" x14ac:dyDescent="0.25">
      <c r="A12" s="1"/>
      <c r="C12" s="167"/>
      <c r="D12" s="167"/>
      <c r="E12" s="167"/>
      <c r="F12" s="167"/>
      <c r="G12" s="167"/>
      <c r="H12" s="167"/>
      <c r="I12" s="167"/>
      <c r="J12" s="167"/>
      <c r="P12" s="75"/>
      <c r="Q12" s="168"/>
      <c r="R12" s="168"/>
      <c r="S12" s="152"/>
      <c r="T12" s="163"/>
      <c r="U12" s="163"/>
      <c r="V12" s="163"/>
      <c r="W12" s="152"/>
      <c r="X12" s="151"/>
    </row>
    <row r="13" spans="1:24" x14ac:dyDescent="0.25">
      <c r="A13" s="1"/>
      <c r="B13" s="75" t="s">
        <v>80</v>
      </c>
      <c r="C13" s="108">
        <v>-594.79999999999995</v>
      </c>
      <c r="D13" s="108">
        <v>-582</v>
      </c>
      <c r="E13" s="108">
        <v>-546.70000000000005</v>
      </c>
      <c r="F13" s="131">
        <f t="shared" ref="F13:J13" ca="1" si="4">+F9*F35*-1</f>
        <v>-536.78067519999991</v>
      </c>
      <c r="G13" s="131">
        <f t="shared" ca="1" si="4"/>
        <v>-529.22038400000008</v>
      </c>
      <c r="H13" s="131">
        <f t="shared" ca="1" si="4"/>
        <v>-524.96772020000003</v>
      </c>
      <c r="I13" s="131">
        <f t="shared" ca="1" si="4"/>
        <v>-523.15419534839998</v>
      </c>
      <c r="J13" s="131">
        <f t="shared" ca="1" si="4"/>
        <v>-521.16814701420697</v>
      </c>
      <c r="P13" s="75"/>
      <c r="Q13" s="168"/>
      <c r="R13" s="168"/>
      <c r="S13" s="152"/>
      <c r="T13" s="163"/>
      <c r="U13" s="163"/>
      <c r="V13" s="163"/>
      <c r="W13" s="152"/>
      <c r="X13" s="151"/>
    </row>
    <row r="14" spans="1:24" x14ac:dyDescent="0.25">
      <c r="A14" s="1"/>
      <c r="B14" s="169" t="s">
        <v>81</v>
      </c>
      <c r="C14" s="170">
        <f>+C11+C13</f>
        <v>33.600000000000023</v>
      </c>
      <c r="D14" s="170">
        <f t="shared" ref="D14:J14" si="5">+D11+D13</f>
        <v>12.899999999999977</v>
      </c>
      <c r="E14" s="170">
        <f t="shared" si="5"/>
        <v>20.699999999999932</v>
      </c>
      <c r="F14" s="170">
        <f t="shared" ca="1" si="5"/>
        <v>4.7251820000001317</v>
      </c>
      <c r="G14" s="170">
        <f t="shared" ca="1" si="5"/>
        <v>28.351091999999994</v>
      </c>
      <c r="H14" s="170">
        <f t="shared" ca="1" si="5"/>
        <v>42.95190437999986</v>
      </c>
      <c r="I14" s="170">
        <f t="shared" ca="1" si="5"/>
        <v>58.128243927599897</v>
      </c>
      <c r="J14" s="170">
        <f t="shared" ca="1" si="5"/>
        <v>68.833528850932908</v>
      </c>
      <c r="P14" s="75"/>
      <c r="Q14" s="168"/>
      <c r="R14" s="168"/>
      <c r="S14" s="152"/>
      <c r="T14" s="152"/>
      <c r="U14" s="152"/>
      <c r="V14" s="171"/>
      <c r="W14" s="152"/>
      <c r="X14" s="151"/>
    </row>
    <row r="15" spans="1:24" x14ac:dyDescent="0.25">
      <c r="A15" s="1"/>
      <c r="C15" s="167"/>
      <c r="D15" s="167"/>
      <c r="E15" s="167"/>
      <c r="F15" s="167"/>
      <c r="G15" s="167"/>
      <c r="H15" s="167"/>
      <c r="I15" s="167"/>
      <c r="J15" s="167"/>
      <c r="P15" s="75"/>
      <c r="Q15" s="172"/>
      <c r="R15" s="172"/>
      <c r="S15" s="173"/>
      <c r="T15" s="152"/>
      <c r="U15" s="152"/>
      <c r="V15" s="152"/>
      <c r="W15" s="152"/>
      <c r="X15" s="151"/>
    </row>
    <row r="16" spans="1:24" x14ac:dyDescent="0.25">
      <c r="A16" s="1"/>
      <c r="B16" s="75" t="s">
        <v>82</v>
      </c>
      <c r="C16" s="108">
        <v>0.9</v>
      </c>
      <c r="D16" s="108">
        <v>0.6</v>
      </c>
      <c r="E16" s="108">
        <v>0.5</v>
      </c>
      <c r="F16" s="174">
        <f ca="1">+F164</f>
        <v>0.81093188760262236</v>
      </c>
      <c r="G16" s="174">
        <f t="shared" ref="G16:J16" ca="1" si="6">+G164</f>
        <v>0.8425199342467542</v>
      </c>
      <c r="H16" s="174">
        <f t="shared" ca="1" si="6"/>
        <v>0.98097476014971818</v>
      </c>
      <c r="I16" s="174">
        <f t="shared" ca="1" si="6"/>
        <v>1.1551807933490195</v>
      </c>
      <c r="J16" s="174">
        <f t="shared" ca="1" si="6"/>
        <v>1.3750552564276761</v>
      </c>
      <c r="P16" s="75"/>
      <c r="Q16" s="75"/>
      <c r="R16" s="75"/>
      <c r="S16" s="152"/>
      <c r="T16" s="160"/>
      <c r="U16" s="160"/>
      <c r="V16" s="160"/>
      <c r="W16" s="152"/>
      <c r="X16" s="151"/>
    </row>
    <row r="17" spans="1:24" x14ac:dyDescent="0.25">
      <c r="A17" s="1"/>
      <c r="B17" s="136" t="s">
        <v>83</v>
      </c>
      <c r="C17" s="108">
        <v>-0.6</v>
      </c>
      <c r="D17" s="108">
        <v>-0.5</v>
      </c>
      <c r="E17" s="108">
        <v>-0.4</v>
      </c>
      <c r="F17" s="174">
        <f ca="1">-F161</f>
        <v>-0.192</v>
      </c>
      <c r="G17" s="174">
        <f t="shared" ref="G17:J17" ca="1" si="7">-G161</f>
        <v>-0.11520000000000002</v>
      </c>
      <c r="H17" s="174">
        <f t="shared" ca="1" si="7"/>
        <v>-3.8400000000000024E-2</v>
      </c>
      <c r="I17" s="174">
        <f t="shared" ca="1" si="7"/>
        <v>-2.8421709430404008E-17</v>
      </c>
      <c r="J17" s="174">
        <f t="shared" ca="1" si="7"/>
        <v>-2.8421709430404008E-17</v>
      </c>
      <c r="P17" s="75"/>
      <c r="Q17" s="75"/>
      <c r="R17" s="75"/>
      <c r="S17" s="152"/>
      <c r="T17" s="163"/>
      <c r="U17" s="163"/>
      <c r="V17" s="163"/>
      <c r="W17" s="152"/>
      <c r="X17" s="151"/>
    </row>
    <row r="18" spans="1:24" x14ac:dyDescent="0.25">
      <c r="A18" s="1"/>
      <c r="B18" s="76" t="s">
        <v>84</v>
      </c>
      <c r="C18" s="161">
        <f>4.6-0.9</f>
        <v>3.6999999999999997</v>
      </c>
      <c r="D18" s="161">
        <f>4.1-0.6</f>
        <v>3.4999999999999996</v>
      </c>
      <c r="E18" s="161">
        <f>3.1-7.5</f>
        <v>-4.4000000000000004</v>
      </c>
      <c r="F18" s="161">
        <v>2</v>
      </c>
      <c r="G18" s="161">
        <v>2</v>
      </c>
      <c r="H18" s="161">
        <v>2</v>
      </c>
      <c r="I18" s="161">
        <v>2</v>
      </c>
      <c r="J18" s="161">
        <v>2</v>
      </c>
      <c r="P18" s="75"/>
      <c r="Q18" s="75"/>
      <c r="R18" s="75"/>
      <c r="S18" s="152"/>
      <c r="T18" s="163"/>
      <c r="U18" s="163"/>
      <c r="V18" s="163"/>
      <c r="W18" s="152"/>
      <c r="X18" s="151"/>
    </row>
    <row r="19" spans="1:24" x14ac:dyDescent="0.25">
      <c r="A19" s="1"/>
      <c r="B19" s="175" t="s">
        <v>85</v>
      </c>
      <c r="C19" s="159">
        <f t="shared" ref="C19:E19" si="8">+C14+SUM(C16:C18)</f>
        <v>37.600000000000023</v>
      </c>
      <c r="D19" s="159">
        <f t="shared" si="8"/>
        <v>16.499999999999979</v>
      </c>
      <c r="E19" s="159">
        <f t="shared" si="8"/>
        <v>16.399999999999931</v>
      </c>
      <c r="F19" s="159">
        <f t="shared" ref="F19:J19" ca="1" si="9">+F14+SUM(F16:F18)</f>
        <v>7.3441138876027541</v>
      </c>
      <c r="G19" s="159">
        <f t="shared" ca="1" si="9"/>
        <v>31.078411934246748</v>
      </c>
      <c r="H19" s="159">
        <f t="shared" ca="1" si="9"/>
        <v>45.894479140149578</v>
      </c>
      <c r="I19" s="159">
        <f t="shared" ca="1" si="9"/>
        <v>61.283424720948915</v>
      </c>
      <c r="J19" s="159">
        <f t="shared" ca="1" si="9"/>
        <v>72.208584107360579</v>
      </c>
      <c r="P19" s="75"/>
      <c r="Q19" s="75"/>
      <c r="R19" s="75"/>
      <c r="S19" s="152"/>
      <c r="T19" s="152"/>
      <c r="U19" s="152"/>
      <c r="V19" s="152"/>
      <c r="W19" s="152"/>
      <c r="X19" s="151"/>
    </row>
    <row r="20" spans="1:24" x14ac:dyDescent="0.25">
      <c r="A20" s="1"/>
      <c r="C20" s="167"/>
      <c r="D20" s="167"/>
      <c r="E20" s="167"/>
      <c r="F20" s="167"/>
      <c r="G20" s="167"/>
      <c r="H20" s="167"/>
      <c r="I20" s="167"/>
      <c r="J20" s="167"/>
      <c r="P20" s="75"/>
      <c r="Q20" s="166"/>
      <c r="R20" s="166"/>
      <c r="S20" s="176"/>
      <c r="T20" s="177"/>
      <c r="U20" s="177"/>
      <c r="V20" s="177"/>
      <c r="W20" s="152"/>
      <c r="X20" s="151"/>
    </row>
    <row r="21" spans="1:24" x14ac:dyDescent="0.25">
      <c r="A21" s="1"/>
      <c r="B21" s="75" t="s">
        <v>86</v>
      </c>
      <c r="C21" s="108">
        <v>-8.4</v>
      </c>
      <c r="D21" s="108">
        <v>-2.7</v>
      </c>
      <c r="E21" s="108">
        <v>-4.0999999999999996</v>
      </c>
      <c r="F21" s="159">
        <f t="shared" ref="F21:J21" ca="1" si="10">+F36*F19*-1</f>
        <v>-2.1518253690676068</v>
      </c>
      <c r="G21" s="159">
        <f t="shared" ca="1" si="10"/>
        <v>-9.1059746967342967</v>
      </c>
      <c r="H21" s="159">
        <f t="shared" ca="1" si="10"/>
        <v>-13.447082388063825</v>
      </c>
      <c r="I21" s="159">
        <f t="shared" ca="1" si="10"/>
        <v>-17.95604344323803</v>
      </c>
      <c r="J21" s="159">
        <f t="shared" ca="1" si="10"/>
        <v>-21.15711514345665</v>
      </c>
      <c r="P21" s="75"/>
      <c r="Q21" s="168"/>
      <c r="R21" s="168"/>
      <c r="S21" s="152"/>
      <c r="T21" s="178"/>
      <c r="U21" s="178"/>
      <c r="V21" s="178"/>
      <c r="W21" s="152"/>
      <c r="X21" s="151"/>
    </row>
    <row r="22" spans="1:24" x14ac:dyDescent="0.25">
      <c r="A22" s="1"/>
      <c r="B22" s="179" t="s">
        <v>87</v>
      </c>
      <c r="C22" s="180">
        <f>+C19+C21</f>
        <v>29.200000000000024</v>
      </c>
      <c r="D22" s="180">
        <f t="shared" ref="D22:J22" si="11">+D19+D21</f>
        <v>13.799999999999979</v>
      </c>
      <c r="E22" s="180">
        <f t="shared" si="11"/>
        <v>12.299999999999931</v>
      </c>
      <c r="F22" s="180">
        <f t="shared" ca="1" si="11"/>
        <v>5.1922885185351468</v>
      </c>
      <c r="G22" s="180">
        <f t="shared" ca="1" si="11"/>
        <v>21.972437237512452</v>
      </c>
      <c r="H22" s="180">
        <f t="shared" ca="1" si="11"/>
        <v>32.447396752085751</v>
      </c>
      <c r="I22" s="180">
        <f t="shared" ca="1" si="11"/>
        <v>43.327381277710884</v>
      </c>
      <c r="J22" s="180">
        <f t="shared" ca="1" si="11"/>
        <v>51.051468963903929</v>
      </c>
      <c r="P22" s="75"/>
      <c r="Q22" s="172"/>
      <c r="R22" s="172"/>
      <c r="S22" s="152"/>
      <c r="T22" s="178"/>
      <c r="U22" s="178"/>
      <c r="V22" s="178"/>
      <c r="W22" s="152"/>
      <c r="X22" s="151"/>
    </row>
    <row r="23" spans="1:24" x14ac:dyDescent="0.25">
      <c r="A23" s="1"/>
      <c r="B23" s="125"/>
      <c r="C23" s="181"/>
      <c r="D23" s="182"/>
      <c r="E23" s="182"/>
      <c r="F23" s="182"/>
      <c r="G23" s="182"/>
      <c r="H23" s="182"/>
      <c r="I23" s="182"/>
      <c r="J23" s="182"/>
      <c r="P23" s="75"/>
      <c r="Q23" s="172"/>
      <c r="R23" s="172"/>
      <c r="S23" s="152"/>
      <c r="T23" s="178"/>
      <c r="U23" s="178"/>
      <c r="V23" s="178"/>
      <c r="W23" s="152"/>
      <c r="X23" s="151"/>
    </row>
    <row r="24" spans="1:24" x14ac:dyDescent="0.25">
      <c r="A24" s="1"/>
      <c r="B24" s="75" t="s">
        <v>88</v>
      </c>
      <c r="C24" s="183">
        <v>-53.046999999999997</v>
      </c>
      <c r="D24" s="183">
        <v>-51.176000000000002</v>
      </c>
      <c r="E24" s="183">
        <v>-42.4</v>
      </c>
      <c r="F24" s="184">
        <f ca="1">F125</f>
        <v>-38.581111029999988</v>
      </c>
      <c r="G24" s="184">
        <f t="shared" ref="G24:J24" ca="1" si="12">G125</f>
        <v>-37.801456000000002</v>
      </c>
      <c r="H24" s="184">
        <f t="shared" ca="1" si="12"/>
        <v>-42.951904379999995</v>
      </c>
      <c r="I24" s="184">
        <f t="shared" ca="1" si="12"/>
        <v>-48.440203273000002</v>
      </c>
      <c r="J24" s="184">
        <f t="shared" ca="1" si="12"/>
        <v>-54.08348695430449</v>
      </c>
      <c r="P24" s="75"/>
      <c r="Q24" s="172"/>
      <c r="R24" s="172"/>
      <c r="S24" s="185"/>
      <c r="T24" s="186"/>
      <c r="U24" s="186"/>
      <c r="V24" s="186"/>
      <c r="W24" s="152"/>
      <c r="X24" s="151"/>
    </row>
    <row r="25" spans="1:24" x14ac:dyDescent="0.25">
      <c r="A25" s="1"/>
      <c r="B25" s="136" t="s">
        <v>89</v>
      </c>
      <c r="C25" s="183">
        <v>-1.4</v>
      </c>
      <c r="D25" s="183">
        <v>-0.7</v>
      </c>
      <c r="E25" s="183">
        <v>-0.82599999999999996</v>
      </c>
      <c r="F25" s="184">
        <f ca="1">+F178</f>
        <v>-0.75224897439999994</v>
      </c>
      <c r="G25" s="184">
        <f ca="1">+G178</f>
        <v>-0.73334824640000007</v>
      </c>
      <c r="H25" s="184">
        <f ca="1">+H178</f>
        <v>-0.72922788769600011</v>
      </c>
      <c r="I25" s="184">
        <f ca="1">+I178</f>
        <v>-0.7285406572259201</v>
      </c>
      <c r="J25" s="184">
        <f ca="1">+J178</f>
        <v>-0.73160207807277355</v>
      </c>
      <c r="P25" s="75"/>
      <c r="Q25" s="172"/>
      <c r="R25" s="172"/>
      <c r="S25" s="185"/>
      <c r="T25" s="186"/>
      <c r="U25" s="186"/>
      <c r="V25" s="186"/>
      <c r="W25" s="152"/>
      <c r="X25" s="151"/>
    </row>
    <row r="26" spans="1:24" x14ac:dyDescent="0.25">
      <c r="A26" s="1"/>
      <c r="B26" s="169" t="s">
        <v>90</v>
      </c>
      <c r="C26" s="170">
        <f>+C14+(C24*-1)+C25</f>
        <v>85.247000000000014</v>
      </c>
      <c r="D26" s="170">
        <f t="shared" ref="D26:E26" si="13">+D14+(D24*-1)+D25</f>
        <v>63.375999999999976</v>
      </c>
      <c r="E26" s="170">
        <f t="shared" si="13"/>
        <v>62.27399999999993</v>
      </c>
      <c r="F26" s="170">
        <f t="shared" ref="F26:J26" ca="1" si="14">+F14+(F24*-1)-F25</f>
        <v>44.058542004400117</v>
      </c>
      <c r="G26" s="170">
        <f t="shared" ca="1" si="14"/>
        <v>66.885896246399994</v>
      </c>
      <c r="H26" s="170">
        <f t="shared" ca="1" si="14"/>
        <v>86.63303664769586</v>
      </c>
      <c r="I26" s="170">
        <f t="shared" ca="1" si="14"/>
        <v>107.29698785782583</v>
      </c>
      <c r="J26" s="170">
        <f t="shared" ca="1" si="14"/>
        <v>123.64861788331017</v>
      </c>
      <c r="P26" s="75"/>
      <c r="Q26" s="172"/>
      <c r="R26" s="172"/>
      <c r="S26" s="187"/>
      <c r="T26" s="152"/>
      <c r="U26" s="152"/>
      <c r="V26" s="152"/>
      <c r="W26" s="152"/>
      <c r="X26" s="151"/>
    </row>
    <row r="27" spans="1:24" x14ac:dyDescent="0.25">
      <c r="A27" s="1"/>
      <c r="B27" s="125"/>
      <c r="C27" s="188"/>
      <c r="D27" s="188"/>
      <c r="E27" s="188"/>
      <c r="F27" s="188"/>
      <c r="G27" s="188"/>
      <c r="H27" s="188"/>
      <c r="I27" s="188"/>
      <c r="J27" s="188"/>
      <c r="P27" s="75"/>
      <c r="Q27" s="172"/>
      <c r="R27" s="172"/>
      <c r="S27" s="172"/>
    </row>
    <row r="28" spans="1:24" x14ac:dyDescent="0.25">
      <c r="A28" s="1"/>
      <c r="B28" s="75" t="s">
        <v>91</v>
      </c>
      <c r="C28" s="108">
        <v>64.585999999999999</v>
      </c>
      <c r="D28" s="108">
        <v>64.585999999999999</v>
      </c>
      <c r="E28" s="108">
        <v>64.585999999999999</v>
      </c>
      <c r="F28" s="159">
        <f ca="1">+AVERAGE(F193,F197)</f>
        <v>64.287200857832005</v>
      </c>
      <c r="G28" s="159">
        <f t="shared" ref="G28:J28" ca="1" si="15">+AVERAGE(G193,G197)</f>
        <v>64.051597005109528</v>
      </c>
      <c r="H28" s="159">
        <f t="shared" ca="1" si="15"/>
        <v>64.172816507970083</v>
      </c>
      <c r="I28" s="159">
        <f t="shared" ca="1" si="15"/>
        <v>64.284367527396455</v>
      </c>
      <c r="J28" s="159">
        <f t="shared" ca="1" si="15"/>
        <v>64.387526588701775</v>
      </c>
      <c r="P28" s="75"/>
      <c r="Q28" s="172"/>
      <c r="R28" s="172"/>
      <c r="S28" s="172"/>
    </row>
    <row r="29" spans="1:24" x14ac:dyDescent="0.25">
      <c r="A29" s="1"/>
      <c r="B29" s="136" t="s">
        <v>92</v>
      </c>
      <c r="C29" s="159">
        <f>+C30-C28</f>
        <v>0</v>
      </c>
      <c r="D29" s="159">
        <f>+D30-D28</f>
        <v>0</v>
      </c>
      <c r="E29" s="159">
        <f>+E30-E28</f>
        <v>0</v>
      </c>
      <c r="F29" s="159">
        <f>+E29</f>
        <v>0</v>
      </c>
      <c r="G29" s="159">
        <f t="shared" ref="G29:J29" si="16">+F29</f>
        <v>0</v>
      </c>
      <c r="H29" s="159">
        <f t="shared" si="16"/>
        <v>0</v>
      </c>
      <c r="I29" s="159">
        <f t="shared" si="16"/>
        <v>0</v>
      </c>
      <c r="J29" s="159">
        <f t="shared" si="16"/>
        <v>0</v>
      </c>
      <c r="P29" s="75"/>
      <c r="Q29" s="172"/>
      <c r="R29" s="172"/>
      <c r="S29" s="172"/>
    </row>
    <row r="30" spans="1:24" x14ac:dyDescent="0.25">
      <c r="A30" s="1"/>
      <c r="B30" s="137" t="s">
        <v>93</v>
      </c>
      <c r="C30" s="189">
        <f>+C28</f>
        <v>64.585999999999999</v>
      </c>
      <c r="D30" s="189">
        <f t="shared" ref="D30:E30" si="17">+D28</f>
        <v>64.585999999999999</v>
      </c>
      <c r="E30" s="189">
        <f t="shared" si="17"/>
        <v>64.585999999999999</v>
      </c>
      <c r="F30" s="190">
        <f t="shared" ref="F30:J30" ca="1" si="18">+F28+F29</f>
        <v>64.287200857832005</v>
      </c>
      <c r="G30" s="190">
        <f t="shared" ca="1" si="18"/>
        <v>64.051597005109528</v>
      </c>
      <c r="H30" s="190">
        <f t="shared" ca="1" si="18"/>
        <v>64.172816507970083</v>
      </c>
      <c r="I30" s="190">
        <f t="shared" ca="1" si="18"/>
        <v>64.284367527396455</v>
      </c>
      <c r="J30" s="190">
        <f t="shared" ca="1" si="18"/>
        <v>64.387526588701775</v>
      </c>
      <c r="P30" s="75"/>
      <c r="Q30" s="172"/>
      <c r="R30" s="172"/>
      <c r="S30" s="172"/>
    </row>
    <row r="31" spans="1:24" x14ac:dyDescent="0.25">
      <c r="A31" s="1"/>
      <c r="B31" s="191" t="s">
        <v>94</v>
      </c>
      <c r="C31" s="192">
        <f t="shared" ref="C31:J31" si="19">+IFERROR(+C22/C30,"N/A")</f>
        <v>0.45211036447527364</v>
      </c>
      <c r="D31" s="192">
        <f t="shared" si="19"/>
        <v>0.21366859690954665</v>
      </c>
      <c r="E31" s="192">
        <f t="shared" si="19"/>
        <v>0.19044374941937775</v>
      </c>
      <c r="F31" s="192">
        <f t="shared" ca="1" si="19"/>
        <v>8.0767064816177611E-2</v>
      </c>
      <c r="G31" s="192">
        <f t="shared" ca="1" si="19"/>
        <v>0.34304276965583957</v>
      </c>
      <c r="H31" s="192">
        <f t="shared" ca="1" si="19"/>
        <v>0.50562525564162941</v>
      </c>
      <c r="I31" s="192">
        <f t="shared" ca="1" si="19"/>
        <v>0.67399560646288992</v>
      </c>
      <c r="J31" s="192">
        <f t="shared" ca="1" si="19"/>
        <v>0.79287824317298816</v>
      </c>
      <c r="P31" s="75"/>
      <c r="Q31" s="172"/>
      <c r="R31" s="172"/>
      <c r="S31" s="172"/>
    </row>
    <row r="32" spans="1:24" x14ac:dyDescent="0.25">
      <c r="A32" s="1"/>
      <c r="B32" s="125"/>
      <c r="C32" s="188"/>
      <c r="D32" s="188"/>
      <c r="E32" s="188"/>
      <c r="F32" s="188"/>
      <c r="G32" s="188"/>
      <c r="H32" s="188"/>
      <c r="I32" s="188"/>
      <c r="J32" s="188"/>
      <c r="P32" s="75"/>
      <c r="Q32" s="172"/>
      <c r="R32" s="172"/>
      <c r="S32" s="172"/>
    </row>
    <row r="33" spans="1:19" x14ac:dyDescent="0.25">
      <c r="A33" s="1"/>
      <c r="B33" t="s">
        <v>39</v>
      </c>
      <c r="C33" s="193"/>
      <c r="D33" s="194">
        <f>+(D9-C9)/C9</f>
        <v>-4.0079960019990028E-2</v>
      </c>
      <c r="E33" s="194">
        <f>+(E9-D9)/D9</f>
        <v>-2.1865889212827987E-2</v>
      </c>
      <c r="F33" s="195">
        <f ca="1">+Assumptions!C13</f>
        <v>6.0000000000000001E-3</v>
      </c>
      <c r="G33" s="195">
        <f ca="1">+Assumptions!D13</f>
        <v>0</v>
      </c>
      <c r="H33" s="195">
        <f ca="1">+Assumptions!E13</f>
        <v>0.01</v>
      </c>
      <c r="I33" s="195">
        <f ca="1">+Assumptions!F13</f>
        <v>1.4999999999999999E-2</v>
      </c>
      <c r="J33" s="195">
        <f ca="1">+Assumptions!G13</f>
        <v>1.4999999999999999E-2</v>
      </c>
      <c r="P33" s="75"/>
      <c r="Q33" s="172"/>
      <c r="R33" s="172"/>
      <c r="S33" s="172"/>
    </row>
    <row r="34" spans="1:19" x14ac:dyDescent="0.25">
      <c r="A34" s="1"/>
      <c r="B34" t="s">
        <v>40</v>
      </c>
      <c r="C34" s="194">
        <f>-C10/C9</f>
        <v>0.37191404297851077</v>
      </c>
      <c r="D34" s="194">
        <f>-D10/D9</f>
        <v>0.38057059558517287</v>
      </c>
      <c r="E34" s="194">
        <f>-E10/E9</f>
        <v>0.39599744517777308</v>
      </c>
      <c r="F34" s="195">
        <f ca="1">+Assumptions!C14</f>
        <v>0.42699999999999999</v>
      </c>
      <c r="G34" s="195">
        <f ca="1">+Assumptions!D14</f>
        <v>0.41</v>
      </c>
      <c r="H34" s="195">
        <f ca="1">+Assumptions!E14</f>
        <v>0.40500000000000003</v>
      </c>
      <c r="I34" s="195">
        <f ca="1">+Assumptions!F14</f>
        <v>0.4</v>
      </c>
      <c r="J34" s="195">
        <f ca="1">+Assumptions!G14</f>
        <v>0.4</v>
      </c>
      <c r="P34" s="75"/>
      <c r="Q34" s="172"/>
      <c r="R34" s="172"/>
      <c r="S34" s="172"/>
    </row>
    <row r="35" spans="1:19" x14ac:dyDescent="0.25">
      <c r="A35" s="1"/>
      <c r="B35" t="s">
        <v>41</v>
      </c>
      <c r="C35" s="194">
        <f>-C13/C9</f>
        <v>0.59450274862568708</v>
      </c>
      <c r="D35" s="194">
        <f>-D13/D9</f>
        <v>0.60599750104123284</v>
      </c>
      <c r="E35" s="194">
        <f>-E13/E9</f>
        <v>0.58196721311475419</v>
      </c>
      <c r="F35" s="195">
        <f ca="1">+Assumptions!C15</f>
        <v>0.56799999999999995</v>
      </c>
      <c r="G35" s="195">
        <f ca="1">+Assumptions!D15</f>
        <v>0.56000000000000005</v>
      </c>
      <c r="H35" s="195">
        <f ca="1">+Assumptions!E15</f>
        <v>0.55000000000000004</v>
      </c>
      <c r="I35" s="195">
        <f ca="1">+Assumptions!F15</f>
        <v>0.54</v>
      </c>
      <c r="J35" s="195">
        <f ca="1">+Assumptions!G15</f>
        <v>0.53</v>
      </c>
      <c r="P35" s="75"/>
      <c r="Q35" s="159"/>
      <c r="R35" s="159"/>
      <c r="S35" s="159"/>
    </row>
    <row r="36" spans="1:19" x14ac:dyDescent="0.25">
      <c r="A36" s="7" t="s">
        <v>1</v>
      </c>
      <c r="B36" t="s">
        <v>42</v>
      </c>
      <c r="C36" s="196">
        <f>+IF(AND(C21&lt;=0,C19&gt;=0),C21/C19*-1,"N/A")</f>
        <v>0.22340425531914881</v>
      </c>
      <c r="D36" s="196">
        <f>+IF(AND(D21&lt;=0,D19&gt;=0),D21/D19*-1,"N/A")</f>
        <v>0.16363636363636386</v>
      </c>
      <c r="E36" s="196">
        <f>+IF(AND(E21&lt;=0,E19&gt;=0),E21/E19*-1,"N/A")</f>
        <v>0.25000000000000105</v>
      </c>
      <c r="F36" s="195">
        <f ca="1">+Assumptions!C16</f>
        <v>0.29299999999999998</v>
      </c>
      <c r="G36" s="195">
        <f ca="1">+Assumptions!D16</f>
        <v>0.29299999999999998</v>
      </c>
      <c r="H36" s="195">
        <f ca="1">+Assumptions!E16</f>
        <v>0.29299999999999998</v>
      </c>
      <c r="I36" s="195">
        <f ca="1">+Assumptions!F16</f>
        <v>0.29299999999999998</v>
      </c>
      <c r="J36" s="195">
        <f ca="1">+Assumptions!G16</f>
        <v>0.29299999999999998</v>
      </c>
      <c r="P36" s="75"/>
      <c r="Q36" s="131"/>
      <c r="R36" s="131"/>
      <c r="S36" s="131"/>
    </row>
    <row r="37" spans="1:19" x14ac:dyDescent="0.25">
      <c r="A37" s="1"/>
      <c r="P37" s="75"/>
      <c r="Q37" s="172"/>
      <c r="R37" s="172"/>
      <c r="S37" s="172"/>
    </row>
    <row r="38" spans="1:19" ht="19.5" thickBot="1" x14ac:dyDescent="0.35">
      <c r="A38" s="7" t="s">
        <v>1</v>
      </c>
      <c r="B38" s="67" t="s">
        <v>95</v>
      </c>
      <c r="C38" s="67"/>
      <c r="D38" s="67"/>
      <c r="E38" s="67"/>
      <c r="F38" s="67"/>
      <c r="G38" s="67"/>
      <c r="H38" s="67"/>
      <c r="I38" s="67"/>
      <c r="J38" s="67"/>
      <c r="K38" s="142"/>
      <c r="L38" s="142"/>
      <c r="M38" s="142"/>
      <c r="N38" s="142"/>
      <c r="P38" s="75"/>
      <c r="Q38" s="172"/>
      <c r="R38" s="172"/>
      <c r="S38" s="172"/>
    </row>
    <row r="39" spans="1:19" x14ac:dyDescent="0.25">
      <c r="A39" s="1"/>
      <c r="B39" s="197" t="s">
        <v>74</v>
      </c>
      <c r="C39" s="198" t="str">
        <f>C7</f>
        <v>Actuals</v>
      </c>
      <c r="D39" s="199"/>
      <c r="E39" s="200"/>
      <c r="F39" s="147" t="s">
        <v>76</v>
      </c>
      <c r="G39" s="147"/>
      <c r="H39" s="147"/>
      <c r="I39" s="147"/>
      <c r="J39" s="147"/>
      <c r="K39" s="75"/>
      <c r="L39" s="75"/>
      <c r="M39" s="75"/>
      <c r="P39" s="75"/>
      <c r="Q39" s="159"/>
      <c r="R39" s="159"/>
      <c r="S39" s="159"/>
    </row>
    <row r="40" spans="1:19" x14ac:dyDescent="0.25">
      <c r="A40" s="1"/>
      <c r="B40" s="137"/>
      <c r="C40" s="201">
        <f>C8</f>
        <v>2013</v>
      </c>
      <c r="D40" s="201">
        <f t="shared" ref="D40:J40" si="20">D8</f>
        <v>2014</v>
      </c>
      <c r="E40" s="201">
        <f t="shared" si="20"/>
        <v>2015</v>
      </c>
      <c r="F40" s="202">
        <f t="shared" si="20"/>
        <v>2016</v>
      </c>
      <c r="G40" s="202">
        <f t="shared" si="20"/>
        <v>2017</v>
      </c>
      <c r="H40" s="202">
        <f t="shared" si="20"/>
        <v>2018</v>
      </c>
      <c r="I40" s="202">
        <f t="shared" si="20"/>
        <v>2019</v>
      </c>
      <c r="J40" s="202">
        <f t="shared" si="20"/>
        <v>2020</v>
      </c>
      <c r="P40" s="75"/>
      <c r="Q40" s="131"/>
      <c r="R40" s="131"/>
      <c r="S40" s="131"/>
    </row>
    <row r="41" spans="1:19" x14ac:dyDescent="0.25">
      <c r="A41" s="1"/>
      <c r="B41" t="s">
        <v>96</v>
      </c>
      <c r="C41" s="203">
        <v>97.69</v>
      </c>
      <c r="D41" s="203">
        <v>122.4</v>
      </c>
      <c r="E41" s="203">
        <v>139.9</v>
      </c>
      <c r="F41" s="167">
        <f ca="1">+E41+F96</f>
        <v>130.41062920087415</v>
      </c>
      <c r="G41" s="167">
        <f ca="1">+F41+G96</f>
        <v>150.42934888137719</v>
      </c>
      <c r="H41" s="167">
        <f ca="1">+G41+H96</f>
        <v>176.56223783519553</v>
      </c>
      <c r="I41" s="167">
        <f ca="1">+H41+I96</f>
        <v>208.4980266144776</v>
      </c>
      <c r="J41" s="167">
        <f ca="1">+I41+J96</f>
        <v>249.8537255280811</v>
      </c>
      <c r="P41" s="75"/>
      <c r="Q41" s="172"/>
      <c r="R41" s="172"/>
      <c r="S41" s="172"/>
    </row>
    <row r="42" spans="1:19" x14ac:dyDescent="0.25">
      <c r="A42" s="1"/>
      <c r="B42" t="s">
        <v>97</v>
      </c>
      <c r="C42" s="203">
        <v>71.69</v>
      </c>
      <c r="D42" s="203">
        <v>55.1</v>
      </c>
      <c r="E42" s="203">
        <v>57.4</v>
      </c>
      <c r="F42" s="167">
        <v>57.4</v>
      </c>
      <c r="G42" s="167">
        <v>57.4</v>
      </c>
      <c r="H42" s="167">
        <v>57.4</v>
      </c>
      <c r="I42" s="167">
        <v>57.4</v>
      </c>
      <c r="J42" s="167">
        <v>57.4</v>
      </c>
      <c r="P42" s="75"/>
      <c r="Q42" s="172"/>
      <c r="R42" s="172"/>
      <c r="S42" s="172"/>
    </row>
    <row r="43" spans="1:19" x14ac:dyDescent="0.25">
      <c r="A43" s="1"/>
      <c r="B43" t="s">
        <v>98</v>
      </c>
      <c r="C43" s="203">
        <v>12.7</v>
      </c>
      <c r="D43" s="203">
        <v>12.1</v>
      </c>
      <c r="E43" s="203">
        <v>6.6</v>
      </c>
      <c r="F43" s="167">
        <f ca="1">+F104</f>
        <v>7.7674224657534241</v>
      </c>
      <c r="G43" s="167">
        <f t="shared" ref="G43:J43" ca="1" si="21">+G104</f>
        <v>7.7674224657534241</v>
      </c>
      <c r="H43" s="167">
        <f t="shared" ca="1" si="21"/>
        <v>7.8450966904109585</v>
      </c>
      <c r="I43" s="167">
        <f t="shared" ca="1" si="21"/>
        <v>7.9627731407671227</v>
      </c>
      <c r="J43" s="167">
        <f t="shared" ca="1" si="21"/>
        <v>8.082214737878628</v>
      </c>
      <c r="P43" s="75"/>
      <c r="Q43" s="172"/>
      <c r="R43" s="172"/>
      <c r="S43" s="172"/>
    </row>
    <row r="44" spans="1:19" x14ac:dyDescent="0.25">
      <c r="A44" s="1"/>
      <c r="B44" t="s">
        <v>99</v>
      </c>
      <c r="C44" s="203">
        <v>93.3</v>
      </c>
      <c r="D44" s="203">
        <v>109.6</v>
      </c>
      <c r="E44" s="203">
        <v>106.4</v>
      </c>
      <c r="F44" s="167">
        <f ca="1">+F111</f>
        <v>121.61194440547945</v>
      </c>
      <c r="G44" s="167">
        <f t="shared" ref="G44:J44" ca="1" si="22">+G111</f>
        <v>106.15477369863012</v>
      </c>
      <c r="H44" s="167">
        <f t="shared" ca="1" si="22"/>
        <v>95.317924788493158</v>
      </c>
      <c r="I44" s="167">
        <f t="shared" ca="1" si="22"/>
        <v>90.244762262027393</v>
      </c>
      <c r="J44" s="167">
        <f t="shared" ca="1" si="22"/>
        <v>80.822147378786298</v>
      </c>
      <c r="K44" s="167"/>
      <c r="P44" s="75"/>
      <c r="Q44" s="131"/>
      <c r="R44" s="131"/>
      <c r="S44" s="131"/>
    </row>
    <row r="45" spans="1:19" x14ac:dyDescent="0.25">
      <c r="A45" s="1"/>
      <c r="B45" s="75" t="s">
        <v>100</v>
      </c>
      <c r="C45" s="203">
        <v>26.5</v>
      </c>
      <c r="D45" s="108">
        <v>24.3</v>
      </c>
      <c r="E45" s="108">
        <v>32.799999999999997</v>
      </c>
      <c r="F45" s="108">
        <v>32.799999999999997</v>
      </c>
      <c r="G45" s="108">
        <v>32.799999999999997</v>
      </c>
      <c r="H45" s="108">
        <v>32.799999999999997</v>
      </c>
      <c r="I45" s="108">
        <v>32.799999999999997</v>
      </c>
      <c r="J45" s="108">
        <v>32.799999999999997</v>
      </c>
      <c r="P45" s="75"/>
      <c r="Q45" s="131"/>
      <c r="R45" s="131"/>
      <c r="S45" s="131"/>
    </row>
    <row r="46" spans="1:19" x14ac:dyDescent="0.25">
      <c r="A46" s="1"/>
      <c r="B46" s="136" t="s">
        <v>101</v>
      </c>
      <c r="C46" s="203">
        <f>205.1+19.2</f>
        <v>224.29999999999998</v>
      </c>
      <c r="D46" s="108">
        <f>178.3+17.2</f>
        <v>195.5</v>
      </c>
      <c r="E46" s="108">
        <f>152.3+20.1</f>
        <v>172.4</v>
      </c>
      <c r="F46" s="167">
        <f ca="1">+F126</f>
        <v>167.36768117000003</v>
      </c>
      <c r="G46" s="167">
        <f t="shared" ref="G46:J46" ca="1" si="23">+G126</f>
        <v>167.36768117000003</v>
      </c>
      <c r="H46" s="167">
        <f t="shared" ca="1" si="23"/>
        <v>167.36768117000003</v>
      </c>
      <c r="I46" s="167">
        <f t="shared" ca="1" si="23"/>
        <v>167.36768117000003</v>
      </c>
      <c r="J46" s="167">
        <f t="shared" ca="1" si="23"/>
        <v>167.36768117000003</v>
      </c>
    </row>
    <row r="47" spans="1:19" x14ac:dyDescent="0.25">
      <c r="A47" s="1"/>
      <c r="B47" s="136" t="s">
        <v>102</v>
      </c>
      <c r="C47" s="108">
        <v>42.4</v>
      </c>
      <c r="D47" s="108">
        <v>42.4</v>
      </c>
      <c r="E47" s="108">
        <v>42.4</v>
      </c>
      <c r="F47" s="108">
        <v>42.4</v>
      </c>
      <c r="G47" s="108">
        <v>42.4</v>
      </c>
      <c r="H47" s="108">
        <v>42.4</v>
      </c>
      <c r="I47" s="108">
        <v>42.4</v>
      </c>
      <c r="J47" s="108">
        <v>42.4</v>
      </c>
    </row>
    <row r="48" spans="1:19" x14ac:dyDescent="0.25">
      <c r="A48" s="1"/>
      <c r="B48" s="136" t="s">
        <v>103</v>
      </c>
      <c r="C48" s="108">
        <v>26.4</v>
      </c>
      <c r="D48" s="108">
        <v>28.6</v>
      </c>
      <c r="E48" s="108">
        <v>26.5</v>
      </c>
      <c r="F48" s="204">
        <f>+(E48+D48)/2</f>
        <v>27.55</v>
      </c>
      <c r="G48" s="204">
        <f t="shared" ref="G48:J48" si="24">+(F48+E48)/2</f>
        <v>27.024999999999999</v>
      </c>
      <c r="H48" s="204">
        <f t="shared" si="24"/>
        <v>27.287500000000001</v>
      </c>
      <c r="I48" s="204">
        <f t="shared" si="24"/>
        <v>27.15625</v>
      </c>
      <c r="J48" s="204">
        <f t="shared" si="24"/>
        <v>27.221875000000001</v>
      </c>
    </row>
    <row r="49" spans="1:10" x14ac:dyDescent="0.25">
      <c r="A49" s="1"/>
      <c r="B49" s="169" t="s">
        <v>104</v>
      </c>
      <c r="C49" s="170">
        <f t="shared" ref="C49:J49" si="25">SUM(C41:C48)</f>
        <v>594.9799999999999</v>
      </c>
      <c r="D49" s="170">
        <f t="shared" si="25"/>
        <v>590</v>
      </c>
      <c r="E49" s="170">
        <f t="shared" si="25"/>
        <v>584.4</v>
      </c>
      <c r="F49" s="165">
        <f t="shared" ca="1" si="25"/>
        <v>587.30767724210693</v>
      </c>
      <c r="G49" s="165">
        <f t="shared" ca="1" si="25"/>
        <v>591.34422621576073</v>
      </c>
      <c r="H49" s="165">
        <f t="shared" ca="1" si="25"/>
        <v>606.98044048409974</v>
      </c>
      <c r="I49" s="165">
        <f t="shared" ca="1" si="25"/>
        <v>633.82949318727208</v>
      </c>
      <c r="J49" s="165">
        <f t="shared" ca="1" si="25"/>
        <v>665.94764381474602</v>
      </c>
    </row>
    <row r="50" spans="1:10" x14ac:dyDescent="0.25">
      <c r="A50" s="1"/>
      <c r="C50" s="205"/>
      <c r="D50" s="167"/>
      <c r="E50" s="167"/>
      <c r="F50" s="167"/>
      <c r="G50" s="167"/>
      <c r="H50" s="167"/>
      <c r="I50" s="167"/>
      <c r="J50" s="167"/>
    </row>
    <row r="51" spans="1:10" x14ac:dyDescent="0.25">
      <c r="A51" s="1"/>
      <c r="B51" t="s">
        <v>105</v>
      </c>
      <c r="C51" s="203">
        <v>41.5</v>
      </c>
      <c r="D51" s="203">
        <v>49.6</v>
      </c>
      <c r="E51" s="203">
        <v>49.6</v>
      </c>
      <c r="F51" s="167">
        <f ca="1">+F118</f>
        <v>52.458970563999998</v>
      </c>
      <c r="G51" s="167">
        <f t="shared" ref="G51:J51" ca="1" si="26">+G118</f>
        <v>50.370440119999991</v>
      </c>
      <c r="H51" s="167">
        <f t="shared" ca="1" si="26"/>
        <v>50.253728124600009</v>
      </c>
      <c r="I51" s="167">
        <f t="shared" ca="1" si="26"/>
        <v>50.377811403919999</v>
      </c>
      <c r="J51" s="167">
        <f t="shared" ca="1" si="26"/>
        <v>51.133478574978803</v>
      </c>
    </row>
    <row r="52" spans="1:10" x14ac:dyDescent="0.25">
      <c r="A52" s="1"/>
      <c r="B52" s="75" t="s">
        <v>106</v>
      </c>
      <c r="C52" s="203">
        <v>45.8</v>
      </c>
      <c r="D52" s="203">
        <v>65.900000000000006</v>
      </c>
      <c r="E52" s="203">
        <v>65.099999999999994</v>
      </c>
      <c r="F52" s="203">
        <v>65.099999999999994</v>
      </c>
      <c r="G52" s="203">
        <v>65.099999999999994</v>
      </c>
      <c r="H52" s="203">
        <v>65.099999999999994</v>
      </c>
      <c r="I52" s="203">
        <v>65.099999999999994</v>
      </c>
      <c r="J52" s="203">
        <v>65.099999999999994</v>
      </c>
    </row>
    <row r="53" spans="1:10" x14ac:dyDescent="0.25">
      <c r="A53" s="1"/>
      <c r="B53" s="136" t="s">
        <v>107</v>
      </c>
      <c r="C53" s="203">
        <v>7</v>
      </c>
      <c r="D53" s="203">
        <v>5.3</v>
      </c>
      <c r="E53" s="203">
        <v>3.6</v>
      </c>
      <c r="F53" s="206">
        <f ca="1">+F144</f>
        <v>2.4000000000000004</v>
      </c>
      <c r="G53" s="206">
        <f t="shared" ref="G53:J53" ca="1" si="27">+G144</f>
        <v>1.2000000000000004</v>
      </c>
      <c r="H53" s="206">
        <f t="shared" ca="1" si="27"/>
        <v>4.4408920985006262E-16</v>
      </c>
      <c r="I53" s="206">
        <f t="shared" ca="1" si="27"/>
        <v>4.4408920985006262E-16</v>
      </c>
      <c r="J53" s="206">
        <f t="shared" ca="1" si="27"/>
        <v>4.4408920985006262E-16</v>
      </c>
    </row>
    <row r="54" spans="1:10" x14ac:dyDescent="0.25">
      <c r="A54" s="1"/>
      <c r="B54" s="207" t="s">
        <v>108</v>
      </c>
      <c r="C54" s="203">
        <v>45.8</v>
      </c>
      <c r="D54" s="203">
        <v>45.7</v>
      </c>
      <c r="E54" s="203">
        <v>45</v>
      </c>
      <c r="F54" s="203">
        <v>45</v>
      </c>
      <c r="G54" s="203">
        <v>45</v>
      </c>
      <c r="H54" s="203">
        <v>45</v>
      </c>
      <c r="I54" s="203">
        <v>45</v>
      </c>
      <c r="J54" s="203">
        <v>45</v>
      </c>
    </row>
    <row r="55" spans="1:10" x14ac:dyDescent="0.25">
      <c r="A55" s="1"/>
      <c r="B55" s="207" t="s">
        <v>109</v>
      </c>
      <c r="C55" s="203"/>
      <c r="D55" s="203"/>
      <c r="E55" s="203"/>
      <c r="F55" s="203"/>
      <c r="G55" s="203"/>
      <c r="H55" s="203"/>
      <c r="I55" s="203"/>
      <c r="J55" s="203"/>
    </row>
    <row r="56" spans="1:10" x14ac:dyDescent="0.25">
      <c r="A56" s="1"/>
      <c r="B56" s="75" t="s">
        <v>110</v>
      </c>
      <c r="C56" s="203"/>
      <c r="D56" s="203"/>
      <c r="E56" s="203"/>
      <c r="F56" s="208">
        <f ca="1">+F152</f>
        <v>0</v>
      </c>
      <c r="G56" s="208">
        <f t="shared" ref="G56:J56" ca="1" si="28">+G152</f>
        <v>0</v>
      </c>
      <c r="H56" s="208">
        <f t="shared" ca="1" si="28"/>
        <v>0</v>
      </c>
      <c r="I56" s="208">
        <f t="shared" ca="1" si="28"/>
        <v>0</v>
      </c>
      <c r="J56" s="208">
        <f t="shared" ca="1" si="28"/>
        <v>0</v>
      </c>
    </row>
    <row r="57" spans="1:10" x14ac:dyDescent="0.25">
      <c r="A57" s="1"/>
      <c r="B57" s="169" t="s">
        <v>111</v>
      </c>
      <c r="C57" s="170">
        <f t="shared" ref="C57:J57" si="29">SUM(C51:C56)</f>
        <v>140.1</v>
      </c>
      <c r="D57" s="170">
        <f t="shared" si="29"/>
        <v>166.5</v>
      </c>
      <c r="E57" s="170">
        <f t="shared" si="29"/>
        <v>163.29999999999998</v>
      </c>
      <c r="F57" s="165">
        <f t="shared" ca="1" si="29"/>
        <v>164.958970564</v>
      </c>
      <c r="G57" s="165">
        <f t="shared" ca="1" si="29"/>
        <v>161.67044011999997</v>
      </c>
      <c r="H57" s="165">
        <f t="shared" ca="1" si="29"/>
        <v>160.3537281246</v>
      </c>
      <c r="I57" s="165">
        <f t="shared" ca="1" si="29"/>
        <v>160.47781140391999</v>
      </c>
      <c r="J57" s="165">
        <f t="shared" ca="1" si="29"/>
        <v>161.23347857497879</v>
      </c>
    </row>
    <row r="58" spans="1:10" x14ac:dyDescent="0.25">
      <c r="A58" s="1"/>
      <c r="B58" s="125"/>
      <c r="C58" s="209"/>
      <c r="D58" s="182"/>
      <c r="E58" s="182"/>
      <c r="F58" s="182"/>
      <c r="G58" s="182"/>
      <c r="H58" s="182"/>
      <c r="I58" s="182"/>
      <c r="J58" s="182"/>
    </row>
    <row r="59" spans="1:10" x14ac:dyDescent="0.25">
      <c r="A59" s="1"/>
      <c r="B59" t="s">
        <v>112</v>
      </c>
      <c r="C59" s="203">
        <v>45.7</v>
      </c>
      <c r="D59" s="203">
        <v>46.4</v>
      </c>
      <c r="E59" s="203">
        <v>47.2</v>
      </c>
      <c r="F59" s="131">
        <f ca="1">+F175</f>
        <v>47.9522489744</v>
      </c>
      <c r="G59" s="131">
        <f t="shared" ref="G59:J59" ca="1" si="30">+G175</f>
        <v>48.685597220799998</v>
      </c>
      <c r="H59" s="131">
        <f t="shared" ca="1" si="30"/>
        <v>49.414825108495997</v>
      </c>
      <c r="I59" s="131">
        <f t="shared" ca="1" si="30"/>
        <v>50.143365765721917</v>
      </c>
      <c r="J59" s="131">
        <f t="shared" ca="1" si="30"/>
        <v>50.874967843794693</v>
      </c>
    </row>
    <row r="60" spans="1:10" x14ac:dyDescent="0.25">
      <c r="A60" s="1"/>
      <c r="B60" t="s">
        <v>113</v>
      </c>
      <c r="C60" s="203"/>
      <c r="D60" s="108"/>
      <c r="E60" s="108"/>
      <c r="F60" s="210"/>
      <c r="G60" s="210"/>
      <c r="H60" s="210"/>
      <c r="I60" s="210"/>
      <c r="J60" s="210"/>
    </row>
    <row r="61" spans="1:10" x14ac:dyDescent="0.25">
      <c r="A61" s="1"/>
      <c r="B61" t="s">
        <v>114</v>
      </c>
      <c r="C61" s="203"/>
      <c r="D61" s="108"/>
      <c r="E61" s="108"/>
      <c r="F61" s="131">
        <f>+F186</f>
        <v>0</v>
      </c>
      <c r="G61" s="131">
        <f t="shared" ref="G61:J61" si="31">+G186</f>
        <v>0</v>
      </c>
      <c r="H61" s="131">
        <f t="shared" si="31"/>
        <v>0</v>
      </c>
      <c r="I61" s="131">
        <f t="shared" si="31"/>
        <v>0</v>
      </c>
      <c r="J61" s="131">
        <f t="shared" si="31"/>
        <v>0</v>
      </c>
    </row>
    <row r="62" spans="1:10" x14ac:dyDescent="0.25">
      <c r="A62" s="1"/>
      <c r="B62" t="s">
        <v>115</v>
      </c>
      <c r="C62" s="203">
        <v>400.48</v>
      </c>
      <c r="D62" s="108">
        <v>369.7</v>
      </c>
      <c r="E62" s="108">
        <v>368.24099999999999</v>
      </c>
      <c r="F62" s="131">
        <f ca="1">+F136</f>
        <v>368.73745770370704</v>
      </c>
      <c r="G62" s="131">
        <f t="shared" ref="G62:J62" ca="1" si="32">+G136</f>
        <v>375.32918887496078</v>
      </c>
      <c r="H62" s="131">
        <f t="shared" ca="1" si="32"/>
        <v>391.55288725100365</v>
      </c>
      <c r="I62" s="131">
        <f t="shared" ca="1" si="32"/>
        <v>417.54931601763013</v>
      </c>
      <c r="J62" s="131">
        <f t="shared" ca="1" si="32"/>
        <v>448.18019739597247</v>
      </c>
    </row>
    <row r="63" spans="1:10" x14ac:dyDescent="0.25">
      <c r="A63" s="1"/>
      <c r="B63" s="75" t="s">
        <v>116</v>
      </c>
      <c r="C63" s="189">
        <v>8.6649999999999991</v>
      </c>
      <c r="D63" s="161">
        <v>7.4</v>
      </c>
      <c r="E63" s="161">
        <v>5.641</v>
      </c>
      <c r="F63" s="161">
        <v>5.641</v>
      </c>
      <c r="G63" s="161">
        <v>5.641</v>
      </c>
      <c r="H63" s="161">
        <v>5.641</v>
      </c>
      <c r="I63" s="161">
        <v>5.641</v>
      </c>
      <c r="J63" s="161">
        <v>5.641</v>
      </c>
    </row>
    <row r="64" spans="1:10" x14ac:dyDescent="0.25">
      <c r="A64" s="1"/>
      <c r="B64" s="169" t="s">
        <v>117</v>
      </c>
      <c r="C64" s="211">
        <f t="shared" ref="C64:J64" si="33">SUM(C59:C63)</f>
        <v>454.84500000000003</v>
      </c>
      <c r="D64" s="211">
        <f t="shared" si="33"/>
        <v>423.49999999999994</v>
      </c>
      <c r="E64" s="211">
        <f t="shared" si="33"/>
        <v>421.08199999999999</v>
      </c>
      <c r="F64" s="211">
        <f t="shared" ca="1" si="33"/>
        <v>422.33070667810705</v>
      </c>
      <c r="G64" s="211">
        <f t="shared" ca="1" si="33"/>
        <v>429.65578609576079</v>
      </c>
      <c r="H64" s="211">
        <f t="shared" ca="1" si="33"/>
        <v>446.60871235949969</v>
      </c>
      <c r="I64" s="211">
        <f t="shared" ca="1" si="33"/>
        <v>473.33368178335206</v>
      </c>
      <c r="J64" s="211">
        <f t="shared" ca="1" si="33"/>
        <v>504.6961652397672</v>
      </c>
    </row>
    <row r="65" spans="1:14" x14ac:dyDescent="0.25">
      <c r="A65" s="1"/>
      <c r="C65" s="205"/>
      <c r="D65" s="167"/>
      <c r="E65" s="167"/>
      <c r="F65" s="167"/>
      <c r="G65" s="167"/>
      <c r="H65" s="167"/>
      <c r="I65" s="167"/>
      <c r="J65" s="167"/>
    </row>
    <row r="66" spans="1:14" x14ac:dyDescent="0.25">
      <c r="A66" s="7" t="s">
        <v>1</v>
      </c>
      <c r="B66" s="197" t="s">
        <v>118</v>
      </c>
      <c r="C66" s="212">
        <f t="shared" ref="C66:J66" si="34">ROUND(C49-C57-C64,1)</f>
        <v>0</v>
      </c>
      <c r="D66" s="212">
        <f t="shared" si="34"/>
        <v>0</v>
      </c>
      <c r="E66" s="212">
        <f t="shared" si="34"/>
        <v>0</v>
      </c>
      <c r="F66" s="212">
        <f t="shared" ca="1" si="34"/>
        <v>0</v>
      </c>
      <c r="G66" s="212">
        <f t="shared" ca="1" si="34"/>
        <v>0</v>
      </c>
      <c r="H66" s="212">
        <f t="shared" ca="1" si="34"/>
        <v>0</v>
      </c>
      <c r="I66" s="212">
        <f t="shared" ca="1" si="34"/>
        <v>0</v>
      </c>
      <c r="J66" s="212">
        <f t="shared" ca="1" si="34"/>
        <v>0</v>
      </c>
    </row>
    <row r="67" spans="1:14" x14ac:dyDescent="0.25">
      <c r="A67" s="1"/>
      <c r="C67" s="213"/>
      <c r="D67" s="213"/>
      <c r="E67" s="213"/>
      <c r="F67" s="213"/>
      <c r="G67" s="213"/>
      <c r="H67" s="213"/>
      <c r="I67" s="213"/>
      <c r="J67" s="213"/>
    </row>
    <row r="68" spans="1:14" ht="19.5" thickBot="1" x14ac:dyDescent="0.35">
      <c r="A68" s="7" t="s">
        <v>1</v>
      </c>
      <c r="B68" s="67" t="s">
        <v>119</v>
      </c>
      <c r="C68" s="67"/>
      <c r="D68" s="67"/>
      <c r="E68" s="67"/>
      <c r="F68" s="67"/>
      <c r="G68" s="67"/>
      <c r="H68" s="67"/>
      <c r="I68" s="67"/>
      <c r="J68" s="67"/>
      <c r="K68" s="142"/>
      <c r="L68" s="142"/>
      <c r="M68" s="142"/>
      <c r="N68" s="142"/>
    </row>
    <row r="69" spans="1:14" x14ac:dyDescent="0.25">
      <c r="A69" s="1"/>
      <c r="C69" s="198"/>
      <c r="D69" s="199"/>
      <c r="E69" s="200"/>
      <c r="F69" s="147" t="s">
        <v>76</v>
      </c>
      <c r="G69" s="147"/>
      <c r="H69" s="147"/>
      <c r="I69" s="147"/>
      <c r="J69" s="147"/>
      <c r="K69" s="75"/>
      <c r="L69" s="75"/>
      <c r="M69" s="75"/>
    </row>
    <row r="70" spans="1:14" x14ac:dyDescent="0.25">
      <c r="A70" s="1"/>
      <c r="B70" s="137"/>
      <c r="C70" s="214"/>
      <c r="D70" s="214"/>
      <c r="E70" s="214"/>
      <c r="F70" s="202">
        <f>F8</f>
        <v>2016</v>
      </c>
      <c r="G70" s="202">
        <f>G8</f>
        <v>2017</v>
      </c>
      <c r="H70" s="202">
        <f>H8</f>
        <v>2018</v>
      </c>
      <c r="I70" s="202">
        <f>I8</f>
        <v>2019</v>
      </c>
      <c r="J70" s="202">
        <f>J8</f>
        <v>2020</v>
      </c>
    </row>
    <row r="71" spans="1:14" x14ac:dyDescent="0.25">
      <c r="A71" s="1"/>
      <c r="B71" t="s">
        <v>87</v>
      </c>
      <c r="F71" s="215">
        <f ca="1">+F22</f>
        <v>5.1922885185351468</v>
      </c>
      <c r="G71" s="215">
        <f ca="1">+G22</f>
        <v>21.972437237512452</v>
      </c>
      <c r="H71" s="215">
        <f ca="1">+H22</f>
        <v>32.447396752085751</v>
      </c>
      <c r="I71" s="215">
        <f ca="1">+I22</f>
        <v>43.327381277710884</v>
      </c>
      <c r="J71" s="215">
        <f ca="1">+J22</f>
        <v>51.051468963903929</v>
      </c>
    </row>
    <row r="72" spans="1:14" x14ac:dyDescent="0.25">
      <c r="A72" s="1"/>
      <c r="B72" s="216" t="s">
        <v>88</v>
      </c>
      <c r="F72" s="215">
        <f ca="1">-F24</f>
        <v>38.581111029999988</v>
      </c>
      <c r="G72" s="215">
        <f ca="1">-G24</f>
        <v>37.801456000000002</v>
      </c>
      <c r="H72" s="215">
        <f ca="1">-H24</f>
        <v>42.951904379999995</v>
      </c>
      <c r="I72" s="215">
        <f ca="1">-I24</f>
        <v>48.440203273000002</v>
      </c>
      <c r="J72" s="215">
        <f ca="1">-J24</f>
        <v>54.08348695430449</v>
      </c>
    </row>
    <row r="73" spans="1:14" x14ac:dyDescent="0.25">
      <c r="A73" s="1"/>
      <c r="B73" s="207" t="s">
        <v>120</v>
      </c>
      <c r="F73" s="215">
        <f ca="1">+F174</f>
        <v>0.75224897439999994</v>
      </c>
      <c r="G73" s="215">
        <f ca="1">+G174</f>
        <v>0.73334824640000007</v>
      </c>
      <c r="H73" s="215">
        <f ca="1">+H174</f>
        <v>0.72922788769600011</v>
      </c>
      <c r="I73" s="215">
        <f ca="1">+I174</f>
        <v>0.7285406572259201</v>
      </c>
      <c r="J73" s="215">
        <f ca="1">+J174</f>
        <v>0.73160207807277355</v>
      </c>
    </row>
    <row r="74" spans="1:14" x14ac:dyDescent="0.25">
      <c r="A74" s="1"/>
      <c r="B74" t="s">
        <v>121</v>
      </c>
      <c r="F74" s="215">
        <f t="shared" ref="F74:J76" ca="1" si="35">+(F43-E43)*-1</f>
        <v>-1.1674224657534245</v>
      </c>
      <c r="G74" s="215">
        <f t="shared" ca="1" si="35"/>
        <v>0</v>
      </c>
      <c r="H74" s="215">
        <f t="shared" ca="1" si="35"/>
        <v>-7.7674224657534374E-2</v>
      </c>
      <c r="I74" s="215">
        <f t="shared" ca="1" si="35"/>
        <v>-0.11767645035616425</v>
      </c>
      <c r="J74" s="215">
        <f t="shared" ca="1" si="35"/>
        <v>-0.11944159711150526</v>
      </c>
    </row>
    <row r="75" spans="1:14" x14ac:dyDescent="0.25">
      <c r="A75" s="1"/>
      <c r="B75" t="s">
        <v>99</v>
      </c>
      <c r="F75" s="215">
        <f t="shared" ca="1" si="35"/>
        <v>-15.211944405479443</v>
      </c>
      <c r="G75" s="215">
        <f t="shared" ca="1" si="35"/>
        <v>15.457170706849325</v>
      </c>
      <c r="H75" s="215">
        <f t="shared" ca="1" si="35"/>
        <v>10.836848910136965</v>
      </c>
      <c r="I75" s="215">
        <f t="shared" ca="1" si="35"/>
        <v>5.0731625264657652</v>
      </c>
      <c r="J75" s="215">
        <f t="shared" ca="1" si="35"/>
        <v>9.4226148832410956</v>
      </c>
    </row>
    <row r="76" spans="1:14" x14ac:dyDescent="0.25">
      <c r="A76" s="1"/>
      <c r="B76" t="s">
        <v>100</v>
      </c>
      <c r="F76" s="215">
        <f t="shared" si="35"/>
        <v>0</v>
      </c>
      <c r="G76" s="215">
        <f t="shared" si="35"/>
        <v>0</v>
      </c>
      <c r="H76" s="215">
        <f t="shared" si="35"/>
        <v>0</v>
      </c>
      <c r="I76" s="215">
        <f t="shared" si="35"/>
        <v>0</v>
      </c>
      <c r="J76" s="215">
        <f t="shared" si="35"/>
        <v>0</v>
      </c>
    </row>
    <row r="77" spans="1:14" x14ac:dyDescent="0.25">
      <c r="A77" s="1"/>
      <c r="B77" s="136" t="s">
        <v>122</v>
      </c>
      <c r="F77" s="131">
        <f>+(F48-E48)*-1</f>
        <v>-1.0500000000000007</v>
      </c>
      <c r="G77" s="131">
        <f>+(G48-F48)*-1</f>
        <v>0.52500000000000213</v>
      </c>
      <c r="H77" s="131">
        <f>+(H48-G48)*-1</f>
        <v>-0.26250000000000284</v>
      </c>
      <c r="I77" s="131">
        <f>+(I48-H48)*-1</f>
        <v>0.13125000000000142</v>
      </c>
      <c r="J77" s="131">
        <f>+(J48-I48)*-1</f>
        <v>-6.5625000000000711E-2</v>
      </c>
    </row>
    <row r="78" spans="1:14" x14ac:dyDescent="0.25">
      <c r="A78" s="1"/>
      <c r="B78" s="75" t="s">
        <v>123</v>
      </c>
      <c r="C78" s="75"/>
      <c r="D78" s="75"/>
      <c r="E78" s="75"/>
      <c r="F78" s="215">
        <f t="shared" ref="F78:J79" ca="1" si="36">+F51-E51</f>
        <v>2.8589705639999963</v>
      </c>
      <c r="G78" s="215">
        <f t="shared" ca="1" si="36"/>
        <v>-2.088530444000007</v>
      </c>
      <c r="H78" s="215">
        <f t="shared" ca="1" si="36"/>
        <v>-0.11671199539998156</v>
      </c>
      <c r="I78" s="215">
        <f t="shared" ca="1" si="36"/>
        <v>0.12408327931998997</v>
      </c>
      <c r="J78" s="215">
        <f t="shared" ca="1" si="36"/>
        <v>0.75566717105880343</v>
      </c>
    </row>
    <row r="79" spans="1:14" x14ac:dyDescent="0.25">
      <c r="A79" s="1"/>
      <c r="B79" s="136" t="s">
        <v>106</v>
      </c>
      <c r="C79" s="75"/>
      <c r="D79" s="75"/>
      <c r="E79" s="75"/>
      <c r="F79" s="215">
        <f t="shared" si="36"/>
        <v>0</v>
      </c>
      <c r="G79" s="215">
        <f t="shared" si="36"/>
        <v>0</v>
      </c>
      <c r="H79" s="215">
        <f t="shared" si="36"/>
        <v>0</v>
      </c>
      <c r="I79" s="215">
        <f t="shared" si="36"/>
        <v>0</v>
      </c>
      <c r="J79" s="215">
        <f t="shared" si="36"/>
        <v>0</v>
      </c>
    </row>
    <row r="80" spans="1:14" x14ac:dyDescent="0.25">
      <c r="A80" s="1"/>
      <c r="B80" s="136" t="s">
        <v>124</v>
      </c>
      <c r="C80" s="75"/>
      <c r="D80" s="75"/>
      <c r="E80" s="75"/>
      <c r="F80" s="215">
        <f ca="1">+F143</f>
        <v>0</v>
      </c>
      <c r="G80" s="215">
        <f t="shared" ref="G80:J80" ca="1" si="37">+G143</f>
        <v>0</v>
      </c>
      <c r="H80" s="215">
        <f t="shared" ca="1" si="37"/>
        <v>0</v>
      </c>
      <c r="I80" s="215">
        <f t="shared" ca="1" si="37"/>
        <v>0</v>
      </c>
      <c r="J80" s="215">
        <f t="shared" ca="1" si="37"/>
        <v>0</v>
      </c>
    </row>
    <row r="81" spans="1:10" x14ac:dyDescent="0.25">
      <c r="A81" s="1"/>
      <c r="B81" s="207" t="s">
        <v>108</v>
      </c>
      <c r="C81" s="75"/>
      <c r="D81" s="75"/>
      <c r="E81" s="75"/>
      <c r="F81" s="215">
        <f>+F54-E54</f>
        <v>0</v>
      </c>
      <c r="G81" s="215">
        <f>+G54-F54</f>
        <v>0</v>
      </c>
      <c r="H81" s="215">
        <f>+H54-G54</f>
        <v>0</v>
      </c>
      <c r="I81" s="215">
        <f>+I54-H54</f>
        <v>0</v>
      </c>
      <c r="J81" s="215">
        <f>+J54-I54</f>
        <v>0</v>
      </c>
    </row>
    <row r="82" spans="1:10" x14ac:dyDescent="0.25">
      <c r="A82" s="1"/>
      <c r="B82" s="169" t="s">
        <v>125</v>
      </c>
      <c r="C82" s="217"/>
      <c r="D82" s="217"/>
      <c r="E82" s="217"/>
      <c r="F82" s="218">
        <f t="shared" ref="F82:J82" ca="1" si="38">SUM(F71:F81)</f>
        <v>29.955252215702263</v>
      </c>
      <c r="G82" s="218">
        <f t="shared" ca="1" si="38"/>
        <v>74.400881746761769</v>
      </c>
      <c r="H82" s="218">
        <f t="shared" ca="1" si="38"/>
        <v>86.508491709861204</v>
      </c>
      <c r="I82" s="218">
        <f t="shared" ca="1" si="38"/>
        <v>97.70694456336642</v>
      </c>
      <c r="J82" s="218">
        <f t="shared" ca="1" si="38"/>
        <v>115.85977345346959</v>
      </c>
    </row>
    <row r="83" spans="1:10" x14ac:dyDescent="0.25">
      <c r="A83" s="1"/>
      <c r="F83" s="167"/>
      <c r="G83" s="167"/>
      <c r="H83" s="167"/>
      <c r="I83" s="167"/>
      <c r="J83" s="167"/>
    </row>
    <row r="84" spans="1:10" x14ac:dyDescent="0.25">
      <c r="A84" s="1"/>
      <c r="B84" s="75" t="s">
        <v>126</v>
      </c>
      <c r="C84" s="75"/>
      <c r="D84" s="75"/>
      <c r="E84" s="75"/>
      <c r="F84" s="219">
        <f ca="1">-F124</f>
        <v>-33.548792199999994</v>
      </c>
      <c r="G84" s="219">
        <f t="shared" ref="G84:J84" ca="1" si="39">-G124</f>
        <v>-37.801456000000002</v>
      </c>
      <c r="H84" s="219">
        <f t="shared" ca="1" si="39"/>
        <v>-42.951904379999995</v>
      </c>
      <c r="I84" s="219">
        <f t="shared" ca="1" si="39"/>
        <v>-48.440203273000002</v>
      </c>
      <c r="J84" s="219">
        <f t="shared" ca="1" si="39"/>
        <v>-54.08348695430449</v>
      </c>
    </row>
    <row r="85" spans="1:10" x14ac:dyDescent="0.25">
      <c r="A85" s="1"/>
      <c r="B85" s="220" t="s">
        <v>127</v>
      </c>
      <c r="C85" s="217"/>
      <c r="D85" s="217"/>
      <c r="E85" s="217"/>
      <c r="F85" s="211">
        <f ca="1">SUM(F84:F84)</f>
        <v>-33.548792199999994</v>
      </c>
      <c r="G85" s="211">
        <f ca="1">SUM(G84:G84)</f>
        <v>-37.801456000000002</v>
      </c>
      <c r="H85" s="211">
        <f ca="1">SUM(H84:H84)</f>
        <v>-42.951904379999995</v>
      </c>
      <c r="I85" s="211">
        <f ca="1">SUM(I84:I84)</f>
        <v>-48.440203273000002</v>
      </c>
      <c r="J85" s="211">
        <f ca="1">SUM(J84:J84)</f>
        <v>-54.08348695430449</v>
      </c>
    </row>
    <row r="86" spans="1:10" x14ac:dyDescent="0.25">
      <c r="A86" s="1"/>
      <c r="F86" s="167"/>
      <c r="G86" s="167"/>
      <c r="H86" s="167"/>
      <c r="I86" s="167"/>
      <c r="J86" s="167"/>
    </row>
    <row r="87" spans="1:10" x14ac:dyDescent="0.25">
      <c r="A87" s="1"/>
      <c r="B87" t="s">
        <v>128</v>
      </c>
      <c r="F87" s="167">
        <f>+F142</f>
        <v>-1.2</v>
      </c>
      <c r="G87" s="167">
        <f t="shared" ref="G87:J87" si="40">+G142</f>
        <v>-1.2</v>
      </c>
      <c r="H87" s="167">
        <f t="shared" si="40"/>
        <v>-1.2</v>
      </c>
      <c r="I87" s="167">
        <f t="shared" si="40"/>
        <v>0</v>
      </c>
      <c r="J87" s="167">
        <f t="shared" si="40"/>
        <v>0</v>
      </c>
    </row>
    <row r="88" spans="1:10" x14ac:dyDescent="0.25">
      <c r="A88" s="1"/>
      <c r="B88" t="s">
        <v>129</v>
      </c>
      <c r="F88" s="131">
        <f ca="1">+F135</f>
        <v>-4.153830814828118</v>
      </c>
      <c r="G88" s="131">
        <f t="shared" ref="G88:J88" ca="1" si="41">+G135</f>
        <v>-15.380706066258716</v>
      </c>
      <c r="H88" s="131">
        <f t="shared" ca="1" si="41"/>
        <v>-16.223698376042876</v>
      </c>
      <c r="I88" s="131">
        <f t="shared" ca="1" si="41"/>
        <v>-17.330952511084355</v>
      </c>
      <c r="J88" s="131">
        <f t="shared" ca="1" si="41"/>
        <v>-20.420587585561574</v>
      </c>
    </row>
    <row r="89" spans="1:10" x14ac:dyDescent="0.25">
      <c r="A89" s="1"/>
      <c r="B89" s="75" t="s">
        <v>110</v>
      </c>
      <c r="C89" s="75"/>
      <c r="D89" s="75"/>
      <c r="E89" s="75"/>
      <c r="F89" s="215">
        <f ca="1">+F56-E56</f>
        <v>0</v>
      </c>
      <c r="G89" s="215">
        <f ca="1">+G56-F56</f>
        <v>0</v>
      </c>
      <c r="H89" s="215">
        <f ca="1">+H56-G56</f>
        <v>0</v>
      </c>
      <c r="I89" s="215">
        <f ca="1">+I56-H56</f>
        <v>0</v>
      </c>
      <c r="J89" s="215">
        <f ca="1">+J56-I56</f>
        <v>0</v>
      </c>
    </row>
    <row r="90" spans="1:10" x14ac:dyDescent="0.25">
      <c r="A90" s="1"/>
      <c r="B90" t="s">
        <v>112</v>
      </c>
      <c r="C90" s="75"/>
      <c r="D90" s="75"/>
      <c r="E90" s="75"/>
      <c r="F90" s="131">
        <f>+F173+F185</f>
        <v>0</v>
      </c>
      <c r="G90" s="131">
        <f>+G173+G185</f>
        <v>0</v>
      </c>
      <c r="H90" s="131">
        <f>+H173+H185</f>
        <v>0</v>
      </c>
      <c r="I90" s="131">
        <f>+I173+I185</f>
        <v>0</v>
      </c>
      <c r="J90" s="131">
        <f>+J173+J185</f>
        <v>0</v>
      </c>
    </row>
    <row r="91" spans="1:10" x14ac:dyDescent="0.25">
      <c r="A91" s="1"/>
      <c r="B91" t="s">
        <v>113</v>
      </c>
      <c r="C91" s="75"/>
      <c r="D91" s="75"/>
      <c r="E91" s="75"/>
      <c r="F91" s="131">
        <f>+F60-E60</f>
        <v>0</v>
      </c>
      <c r="G91" s="131">
        <f>+G60-F60</f>
        <v>0</v>
      </c>
      <c r="H91" s="131">
        <f>+H60-G60</f>
        <v>0</v>
      </c>
      <c r="I91" s="131">
        <f>+I60-H60</f>
        <v>0</v>
      </c>
      <c r="J91" s="131">
        <f>+J60-I60</f>
        <v>0</v>
      </c>
    </row>
    <row r="92" spans="1:10" x14ac:dyDescent="0.25">
      <c r="A92" s="1"/>
      <c r="B92" t="s">
        <v>130</v>
      </c>
      <c r="C92" s="75"/>
      <c r="D92" s="75"/>
      <c r="E92" s="75"/>
      <c r="F92" s="131">
        <f>+F183</f>
        <v>-0.54200000000000004</v>
      </c>
      <c r="G92" s="131">
        <f t="shared" ref="G92:J92" si="42">+G183</f>
        <v>0</v>
      </c>
      <c r="H92" s="131">
        <f t="shared" si="42"/>
        <v>0</v>
      </c>
      <c r="I92" s="131">
        <f t="shared" si="42"/>
        <v>0</v>
      </c>
      <c r="J92" s="131">
        <f t="shared" si="42"/>
        <v>0</v>
      </c>
    </row>
    <row r="93" spans="1:10" x14ac:dyDescent="0.25">
      <c r="A93" s="1"/>
      <c r="B93" s="75" t="s">
        <v>116</v>
      </c>
      <c r="C93" s="75"/>
      <c r="D93" s="75"/>
      <c r="E93" s="75"/>
      <c r="F93" s="131">
        <f>+F63-E63</f>
        <v>0</v>
      </c>
      <c r="G93" s="131">
        <f>+G63-F63</f>
        <v>0</v>
      </c>
      <c r="H93" s="131">
        <f>+H63-G63</f>
        <v>0</v>
      </c>
      <c r="I93" s="131">
        <f>+I63-H63</f>
        <v>0</v>
      </c>
      <c r="J93" s="131">
        <f>+J63-I63</f>
        <v>0</v>
      </c>
    </row>
    <row r="94" spans="1:10" x14ac:dyDescent="0.25">
      <c r="A94" s="1"/>
      <c r="B94" s="169" t="s">
        <v>131</v>
      </c>
      <c r="C94" s="217"/>
      <c r="D94" s="217"/>
      <c r="E94" s="217"/>
      <c r="F94" s="218">
        <f t="shared" ref="F94:J94" ca="1" si="43">SUM(F87:F93)</f>
        <v>-5.895830814828118</v>
      </c>
      <c r="G94" s="218">
        <f t="shared" ca="1" si="43"/>
        <v>-16.580706066258717</v>
      </c>
      <c r="H94" s="218">
        <f t="shared" ca="1" si="43"/>
        <v>-17.423698376042875</v>
      </c>
      <c r="I94" s="218">
        <f t="shared" ca="1" si="43"/>
        <v>-17.330952511084355</v>
      </c>
      <c r="J94" s="218">
        <f t="shared" ca="1" si="43"/>
        <v>-20.420587585561574</v>
      </c>
    </row>
    <row r="95" spans="1:10" x14ac:dyDescent="0.25">
      <c r="A95" s="1"/>
      <c r="F95" s="167"/>
      <c r="G95" s="167"/>
      <c r="H95" s="167"/>
      <c r="I95" s="167"/>
      <c r="J95" s="167"/>
    </row>
    <row r="96" spans="1:10" x14ac:dyDescent="0.25">
      <c r="A96" s="7" t="s">
        <v>1</v>
      </c>
      <c r="B96" s="221" t="s">
        <v>132</v>
      </c>
      <c r="C96" s="221"/>
      <c r="D96" s="221"/>
      <c r="E96" s="221"/>
      <c r="F96" s="222">
        <f ca="1">+F82+F85+F94</f>
        <v>-9.4893707991258491</v>
      </c>
      <c r="G96" s="222">
        <f ca="1">+G82+G85+G94</f>
        <v>20.01871968050305</v>
      </c>
      <c r="H96" s="222">
        <f ca="1">+H82+H85+H94</f>
        <v>26.132888953818334</v>
      </c>
      <c r="I96" s="222">
        <f ca="1">+I82+I85+I94</f>
        <v>31.935788779282063</v>
      </c>
      <c r="J96" s="222">
        <f ca="1">+J82+J85+J94</f>
        <v>41.355698913603518</v>
      </c>
    </row>
    <row r="97" spans="1:14" x14ac:dyDescent="0.25">
      <c r="A97" s="1"/>
    </row>
    <row r="98" spans="1:14" ht="19.5" thickBot="1" x14ac:dyDescent="0.35">
      <c r="A98" s="7" t="s">
        <v>1</v>
      </c>
      <c r="B98" s="67" t="s">
        <v>133</v>
      </c>
      <c r="C98" s="67"/>
      <c r="D98" s="67"/>
      <c r="E98" s="67"/>
      <c r="F98" s="67"/>
      <c r="G98" s="67"/>
      <c r="H98" s="67"/>
      <c r="I98" s="67"/>
      <c r="J98" s="67"/>
      <c r="K98" s="142"/>
      <c r="L98" s="142"/>
      <c r="M98" s="142"/>
      <c r="N98" s="142"/>
    </row>
    <row r="99" spans="1:14" x14ac:dyDescent="0.25">
      <c r="A99" s="1"/>
      <c r="C99" s="198" t="str">
        <f>C7</f>
        <v>Actuals</v>
      </c>
      <c r="D99" s="199"/>
      <c r="E99" s="200"/>
      <c r="F99" s="147" t="s">
        <v>76</v>
      </c>
      <c r="G99" s="147"/>
      <c r="H99" s="147"/>
      <c r="I99" s="147"/>
      <c r="J99" s="147"/>
      <c r="K99" s="75"/>
      <c r="L99" s="75"/>
      <c r="M99" s="75"/>
    </row>
    <row r="100" spans="1:14" x14ac:dyDescent="0.25">
      <c r="A100" s="1"/>
      <c r="B100" s="137"/>
      <c r="C100" s="201">
        <f>C8</f>
        <v>2013</v>
      </c>
      <c r="D100" s="201">
        <f t="shared" ref="D100:J100" si="44">D8</f>
        <v>2014</v>
      </c>
      <c r="E100" s="201">
        <f t="shared" si="44"/>
        <v>2015</v>
      </c>
      <c r="F100" s="202">
        <f t="shared" si="44"/>
        <v>2016</v>
      </c>
      <c r="G100" s="202">
        <f t="shared" si="44"/>
        <v>2017</v>
      </c>
      <c r="H100" s="202">
        <f t="shared" si="44"/>
        <v>2018</v>
      </c>
      <c r="I100" s="202">
        <f t="shared" si="44"/>
        <v>2019</v>
      </c>
      <c r="J100" s="202">
        <f t="shared" si="44"/>
        <v>2020</v>
      </c>
    </row>
    <row r="101" spans="1:14" ht="15.75" x14ac:dyDescent="0.25">
      <c r="A101" s="1"/>
      <c r="B101" s="90" t="s">
        <v>121</v>
      </c>
      <c r="C101" s="223"/>
      <c r="D101" s="223"/>
      <c r="E101" s="223"/>
      <c r="F101" s="223"/>
      <c r="G101" s="223"/>
      <c r="H101" s="223"/>
      <c r="I101" s="223"/>
      <c r="J101" s="223"/>
    </row>
    <row r="102" spans="1:14" x14ac:dyDescent="0.25">
      <c r="A102" s="1"/>
      <c r="B102" t="s">
        <v>134</v>
      </c>
      <c r="F102" s="167">
        <f>+E104</f>
        <v>6.6</v>
      </c>
      <c r="G102" s="167">
        <f t="shared" ref="G102:J102" ca="1" si="45">+F104</f>
        <v>7.7674224657534241</v>
      </c>
      <c r="H102" s="167">
        <f t="shared" ca="1" si="45"/>
        <v>7.7674224657534241</v>
      </c>
      <c r="I102" s="167">
        <f t="shared" ca="1" si="45"/>
        <v>7.8450966904109585</v>
      </c>
      <c r="J102" s="167">
        <f t="shared" ca="1" si="45"/>
        <v>7.9627731407671227</v>
      </c>
    </row>
    <row r="103" spans="1:14" x14ac:dyDescent="0.25">
      <c r="A103" s="1"/>
      <c r="B103" s="224" t="s">
        <v>135</v>
      </c>
      <c r="C103" s="76"/>
      <c r="D103" s="76"/>
      <c r="E103" s="76"/>
      <c r="F103" s="225">
        <f ca="1">+F104-F102</f>
        <v>1.1674224657534245</v>
      </c>
      <c r="G103" s="225">
        <f t="shared" ref="G103:J103" ca="1" si="46">+G104-G102</f>
        <v>0</v>
      </c>
      <c r="H103" s="225">
        <f t="shared" ca="1" si="46"/>
        <v>7.7674224657534374E-2</v>
      </c>
      <c r="I103" s="225">
        <f t="shared" ca="1" si="46"/>
        <v>0.11767645035616425</v>
      </c>
      <c r="J103" s="225">
        <f t="shared" ca="1" si="46"/>
        <v>0.11944159711150526</v>
      </c>
    </row>
    <row r="104" spans="1:14" x14ac:dyDescent="0.25">
      <c r="A104" s="1"/>
      <c r="B104" s="164" t="s">
        <v>136</v>
      </c>
      <c r="C104" s="226"/>
      <c r="D104" s="165">
        <f>+D43</f>
        <v>12.1</v>
      </c>
      <c r="E104" s="165">
        <f>+E43</f>
        <v>6.6</v>
      </c>
      <c r="F104" s="165">
        <f ca="1">+F106*F9/365</f>
        <v>7.7674224657534241</v>
      </c>
      <c r="G104" s="165">
        <f t="shared" ref="G104:J104" ca="1" si="47">+G106*G9/365</f>
        <v>7.7674224657534241</v>
      </c>
      <c r="H104" s="165">
        <f t="shared" ca="1" si="47"/>
        <v>7.8450966904109585</v>
      </c>
      <c r="I104" s="165">
        <f t="shared" ca="1" si="47"/>
        <v>7.9627731407671227</v>
      </c>
      <c r="J104" s="165">
        <f t="shared" ca="1" si="47"/>
        <v>8.082214737878628</v>
      </c>
    </row>
    <row r="105" spans="1:14" x14ac:dyDescent="0.25">
      <c r="A105" s="1"/>
      <c r="C105" s="167"/>
      <c r="D105" s="167"/>
      <c r="E105" s="167"/>
      <c r="F105" s="167"/>
      <c r="G105" s="167"/>
      <c r="H105" s="167"/>
      <c r="I105" s="167"/>
      <c r="J105" s="167"/>
    </row>
    <row r="106" spans="1:14" x14ac:dyDescent="0.25">
      <c r="A106" s="1"/>
      <c r="B106" s="227" t="s">
        <v>44</v>
      </c>
      <c r="C106" s="213"/>
      <c r="D106" s="194"/>
      <c r="E106" s="194"/>
      <c r="F106" s="228">
        <f>+Assumptions!C19</f>
        <v>3</v>
      </c>
      <c r="G106" s="228">
        <f>+Assumptions!D19</f>
        <v>3</v>
      </c>
      <c r="H106" s="228">
        <f>+Assumptions!E19</f>
        <v>3</v>
      </c>
      <c r="I106" s="228">
        <f>+Assumptions!F19</f>
        <v>3</v>
      </c>
      <c r="J106" s="228">
        <f>+Assumptions!G19</f>
        <v>3</v>
      </c>
    </row>
    <row r="107" spans="1:14" x14ac:dyDescent="0.25">
      <c r="A107" s="1"/>
      <c r="C107" s="213"/>
      <c r="D107" s="213"/>
      <c r="E107" s="213"/>
      <c r="F107" s="229"/>
      <c r="G107" s="229"/>
      <c r="H107" s="229"/>
      <c r="I107" s="229"/>
      <c r="J107" s="229"/>
    </row>
    <row r="108" spans="1:14" ht="15.75" x14ac:dyDescent="0.25">
      <c r="A108" s="1"/>
      <c r="B108" s="90" t="s">
        <v>99</v>
      </c>
      <c r="C108" s="223"/>
      <c r="D108" s="223"/>
      <c r="E108" s="223"/>
      <c r="F108" s="223"/>
      <c r="G108" s="223"/>
      <c r="H108" s="223"/>
      <c r="I108" s="223"/>
      <c r="J108" s="223"/>
    </row>
    <row r="109" spans="1:14" x14ac:dyDescent="0.25">
      <c r="A109" s="1"/>
      <c r="B109" t="s">
        <v>137</v>
      </c>
      <c r="F109" s="167">
        <f>+E111</f>
        <v>106.4</v>
      </c>
      <c r="G109" s="167">
        <f t="shared" ref="G109:J109" ca="1" si="48">+F111</f>
        <v>121.61194440547945</v>
      </c>
      <c r="H109" s="167">
        <f t="shared" ca="1" si="48"/>
        <v>106.15477369863012</v>
      </c>
      <c r="I109" s="167">
        <f t="shared" ca="1" si="48"/>
        <v>95.317924788493158</v>
      </c>
      <c r="J109" s="167">
        <f t="shared" ca="1" si="48"/>
        <v>90.244762262027393</v>
      </c>
    </row>
    <row r="110" spans="1:14" x14ac:dyDescent="0.25">
      <c r="A110" s="1"/>
      <c r="B110" s="224" t="s">
        <v>135</v>
      </c>
      <c r="C110" s="76"/>
      <c r="D110" s="76"/>
      <c r="E110" s="76"/>
      <c r="F110" s="230">
        <f ca="1">+F111-F109</f>
        <v>15.211944405479443</v>
      </c>
      <c r="G110" s="230">
        <f t="shared" ref="G110:J110" ca="1" si="49">+G111-G109</f>
        <v>-15.457170706849325</v>
      </c>
      <c r="H110" s="230">
        <f t="shared" ca="1" si="49"/>
        <v>-10.836848910136965</v>
      </c>
      <c r="I110" s="230">
        <f t="shared" ca="1" si="49"/>
        <v>-5.0731625264657652</v>
      </c>
      <c r="J110" s="230">
        <f t="shared" ca="1" si="49"/>
        <v>-9.4226148832410956</v>
      </c>
    </row>
    <row r="111" spans="1:14" x14ac:dyDescent="0.25">
      <c r="A111" s="1"/>
      <c r="B111" s="164" t="s">
        <v>138</v>
      </c>
      <c r="C111" s="226"/>
      <c r="D111" s="165">
        <f>+D44</f>
        <v>109.6</v>
      </c>
      <c r="E111" s="165">
        <f>+E44</f>
        <v>106.4</v>
      </c>
      <c r="F111" s="165">
        <f ca="1">+((F113*F10)/365)*-1</f>
        <v>121.61194440547945</v>
      </c>
      <c r="G111" s="165">
        <f t="shared" ref="G111:J111" ca="1" si="50">+((G113*G10)/365)*-1</f>
        <v>106.15477369863012</v>
      </c>
      <c r="H111" s="165">
        <f t="shared" ca="1" si="50"/>
        <v>95.317924788493158</v>
      </c>
      <c r="I111" s="165">
        <f t="shared" ca="1" si="50"/>
        <v>90.244762262027393</v>
      </c>
      <c r="J111" s="165">
        <f t="shared" ca="1" si="50"/>
        <v>80.822147378786298</v>
      </c>
    </row>
    <row r="112" spans="1:14" x14ac:dyDescent="0.25">
      <c r="A112" s="1"/>
      <c r="C112" s="167"/>
      <c r="D112" s="167"/>
      <c r="E112" s="167"/>
      <c r="F112" s="167"/>
      <c r="G112" s="167"/>
      <c r="H112" s="167"/>
      <c r="I112" s="167"/>
      <c r="J112" s="167"/>
    </row>
    <row r="113" spans="1:10" x14ac:dyDescent="0.25">
      <c r="A113" s="1"/>
      <c r="B113" s="231" t="s">
        <v>45</v>
      </c>
      <c r="C113" s="213"/>
      <c r="D113" s="194"/>
      <c r="E113" s="194"/>
      <c r="F113" s="228">
        <f>+Assumptions!C20</f>
        <v>110</v>
      </c>
      <c r="G113" s="228">
        <f>+Assumptions!D20</f>
        <v>100</v>
      </c>
      <c r="H113" s="228">
        <f>+Assumptions!E20</f>
        <v>90</v>
      </c>
      <c r="I113" s="228">
        <f>+Assumptions!F20</f>
        <v>85</v>
      </c>
      <c r="J113" s="228">
        <f>+Assumptions!G20</f>
        <v>75</v>
      </c>
    </row>
    <row r="114" spans="1:10" x14ac:dyDescent="0.25">
      <c r="A114" s="1"/>
      <c r="C114" s="213"/>
      <c r="D114" s="213"/>
      <c r="E114" s="213"/>
      <c r="F114" s="229"/>
      <c r="G114" s="229"/>
      <c r="H114" s="229"/>
      <c r="I114" s="229"/>
      <c r="J114" s="229"/>
    </row>
    <row r="115" spans="1:10" ht="15.75" x14ac:dyDescent="0.25">
      <c r="A115" s="1"/>
      <c r="B115" s="90" t="s">
        <v>123</v>
      </c>
      <c r="C115" s="223"/>
      <c r="D115" s="223"/>
      <c r="E115" s="223"/>
      <c r="F115" s="223"/>
      <c r="G115" s="223"/>
      <c r="H115" s="223"/>
      <c r="I115" s="223"/>
      <c r="J115" s="223"/>
    </row>
    <row r="116" spans="1:10" x14ac:dyDescent="0.25">
      <c r="A116" s="1"/>
      <c r="B116" t="s">
        <v>139</v>
      </c>
      <c r="F116" s="167">
        <f>+E118</f>
        <v>49.6</v>
      </c>
      <c r="G116" s="167">
        <f t="shared" ref="G116:J116" ca="1" si="51">+F118</f>
        <v>52.458970563999998</v>
      </c>
      <c r="H116" s="167">
        <f t="shared" ca="1" si="51"/>
        <v>50.370440119999991</v>
      </c>
      <c r="I116" s="167">
        <f t="shared" ca="1" si="51"/>
        <v>50.253728124600009</v>
      </c>
      <c r="J116" s="167">
        <f t="shared" ca="1" si="51"/>
        <v>50.377811403919999</v>
      </c>
    </row>
    <row r="117" spans="1:10" x14ac:dyDescent="0.25">
      <c r="A117" s="1"/>
      <c r="B117" s="224" t="s">
        <v>135</v>
      </c>
      <c r="C117" s="76"/>
      <c r="D117" s="76"/>
      <c r="E117" s="76"/>
      <c r="F117" s="230">
        <f ca="1">+F118-F116</f>
        <v>2.8589705639999963</v>
      </c>
      <c r="G117" s="230">
        <f t="shared" ref="G117:J117" ca="1" si="52">+G118-G116</f>
        <v>-2.088530444000007</v>
      </c>
      <c r="H117" s="230">
        <f t="shared" ca="1" si="52"/>
        <v>-0.11671199539998156</v>
      </c>
      <c r="I117" s="230">
        <f t="shared" ca="1" si="52"/>
        <v>0.12408327931998997</v>
      </c>
      <c r="J117" s="230">
        <f t="shared" ca="1" si="52"/>
        <v>0.75566717105880343</v>
      </c>
    </row>
    <row r="118" spans="1:10" x14ac:dyDescent="0.25">
      <c r="A118" s="1"/>
      <c r="B118" s="232" t="s">
        <v>140</v>
      </c>
      <c r="C118" s="226"/>
      <c r="D118" s="165">
        <f>+D51</f>
        <v>49.6</v>
      </c>
      <c r="E118" s="165">
        <f>+E51</f>
        <v>49.6</v>
      </c>
      <c r="F118" s="165">
        <f ca="1">+((F120*F10)/365)*-1</f>
        <v>52.458970563999998</v>
      </c>
      <c r="G118" s="165">
        <f t="shared" ref="G118:J118" ca="1" si="53">+((G120*G10)/365)*-1</f>
        <v>50.370440119999991</v>
      </c>
      <c r="H118" s="165">
        <f t="shared" ca="1" si="53"/>
        <v>50.253728124600009</v>
      </c>
      <c r="I118" s="165">
        <f t="shared" ca="1" si="53"/>
        <v>50.377811403919999</v>
      </c>
      <c r="J118" s="165">
        <f t="shared" ca="1" si="53"/>
        <v>51.133478574978803</v>
      </c>
    </row>
    <row r="119" spans="1:10" x14ac:dyDescent="0.25">
      <c r="A119" s="1"/>
      <c r="C119" s="213"/>
      <c r="D119" s="213"/>
      <c r="E119" s="213"/>
      <c r="F119" s="229"/>
      <c r="G119" s="229"/>
      <c r="H119" s="229"/>
      <c r="I119" s="229"/>
      <c r="J119" s="229"/>
    </row>
    <row r="120" spans="1:10" x14ac:dyDescent="0.25">
      <c r="A120" s="7" t="s">
        <v>1</v>
      </c>
      <c r="B120" s="75" t="s">
        <v>141</v>
      </c>
      <c r="C120" s="213"/>
      <c r="D120" s="194"/>
      <c r="E120" s="194"/>
      <c r="F120" s="228">
        <f>+Assumptions!C21</f>
        <v>47.45</v>
      </c>
      <c r="G120" s="228">
        <f>+Assumptions!D21</f>
        <v>47.45</v>
      </c>
      <c r="H120" s="228">
        <f>+Assumptions!E21</f>
        <v>47.45</v>
      </c>
      <c r="I120" s="228">
        <f>+Assumptions!F21</f>
        <v>47.45</v>
      </c>
      <c r="J120" s="228">
        <f>+Assumptions!G21</f>
        <v>47.45</v>
      </c>
    </row>
    <row r="121" spans="1:10" x14ac:dyDescent="0.25">
      <c r="A121" s="1"/>
      <c r="C121" s="213"/>
      <c r="D121" s="213"/>
      <c r="E121" s="213"/>
      <c r="F121" s="229"/>
      <c r="G121" s="229"/>
      <c r="H121" s="229"/>
      <c r="I121" s="229"/>
      <c r="J121" s="229"/>
    </row>
    <row r="122" spans="1:10" ht="15.75" x14ac:dyDescent="0.25">
      <c r="A122" s="1"/>
      <c r="B122" s="233" t="s">
        <v>101</v>
      </c>
      <c r="C122" s="223"/>
      <c r="D122" s="223"/>
      <c r="E122" s="223"/>
      <c r="F122" s="223"/>
      <c r="G122" s="223"/>
      <c r="H122" s="223"/>
      <c r="I122" s="223"/>
      <c r="J122" s="223"/>
    </row>
    <row r="123" spans="1:10" x14ac:dyDescent="0.25">
      <c r="A123" s="1"/>
      <c r="B123" s="75" t="s">
        <v>142</v>
      </c>
      <c r="C123" s="167"/>
      <c r="D123" s="167"/>
      <c r="E123" s="167"/>
      <c r="F123" s="234">
        <f>+E126</f>
        <v>172.4</v>
      </c>
      <c r="G123" s="234">
        <f t="shared" ref="G123:J123" ca="1" si="54">+F126</f>
        <v>167.36768117000003</v>
      </c>
      <c r="H123" s="234">
        <f t="shared" ca="1" si="54"/>
        <v>167.36768117000003</v>
      </c>
      <c r="I123" s="234">
        <f t="shared" ca="1" si="54"/>
        <v>167.36768117000003</v>
      </c>
      <c r="J123" s="234">
        <f t="shared" ca="1" si="54"/>
        <v>167.36768117000003</v>
      </c>
    </row>
    <row r="124" spans="1:10" x14ac:dyDescent="0.25">
      <c r="A124" s="1"/>
      <c r="B124" s="235" t="s">
        <v>143</v>
      </c>
      <c r="C124" s="236"/>
      <c r="D124" s="236"/>
      <c r="E124" s="236"/>
      <c r="F124" s="167">
        <f ca="1">+F128*F9</f>
        <v>33.548792199999994</v>
      </c>
      <c r="G124" s="167">
        <f ca="1">+G128*G9</f>
        <v>37.801456000000002</v>
      </c>
      <c r="H124" s="167">
        <f ca="1">+H128*H9</f>
        <v>42.951904379999995</v>
      </c>
      <c r="I124" s="167">
        <f ca="1">+I128*I9</f>
        <v>48.440203273000002</v>
      </c>
      <c r="J124" s="167">
        <f ca="1">+J128*J9</f>
        <v>54.08348695430449</v>
      </c>
    </row>
    <row r="125" spans="1:10" x14ac:dyDescent="0.25">
      <c r="A125" s="1"/>
      <c r="B125" s="237" t="s">
        <v>144</v>
      </c>
      <c r="C125" s="162"/>
      <c r="D125" s="162"/>
      <c r="E125" s="162"/>
      <c r="F125" s="230">
        <f t="shared" ref="F125:J125" ca="1" si="55">+F129*F124*-1</f>
        <v>-38.581111029999988</v>
      </c>
      <c r="G125" s="230">
        <f t="shared" ca="1" si="55"/>
        <v>-37.801456000000002</v>
      </c>
      <c r="H125" s="230">
        <f t="shared" ca="1" si="55"/>
        <v>-42.951904379999995</v>
      </c>
      <c r="I125" s="230">
        <f t="shared" ca="1" si="55"/>
        <v>-48.440203273000002</v>
      </c>
      <c r="J125" s="230">
        <f t="shared" ca="1" si="55"/>
        <v>-54.08348695430449</v>
      </c>
    </row>
    <row r="126" spans="1:10" x14ac:dyDescent="0.25">
      <c r="A126" s="1"/>
      <c r="B126" s="164" t="s">
        <v>145</v>
      </c>
      <c r="C126" s="226"/>
      <c r="D126" s="211">
        <f>+D46</f>
        <v>195.5</v>
      </c>
      <c r="E126" s="211">
        <f>+E46</f>
        <v>172.4</v>
      </c>
      <c r="F126" s="211">
        <f t="shared" ref="F126:J126" ca="1" si="56">SUM(F123:F125)</f>
        <v>167.36768117000003</v>
      </c>
      <c r="G126" s="211">
        <f t="shared" ca="1" si="56"/>
        <v>167.36768117000003</v>
      </c>
      <c r="H126" s="211">
        <f t="shared" ca="1" si="56"/>
        <v>167.36768117000003</v>
      </c>
      <c r="I126" s="211">
        <f t="shared" ca="1" si="56"/>
        <v>167.36768117000003</v>
      </c>
      <c r="J126" s="211">
        <f t="shared" ca="1" si="56"/>
        <v>167.36768117000003</v>
      </c>
    </row>
    <row r="127" spans="1:10" x14ac:dyDescent="0.25">
      <c r="A127" s="1"/>
      <c r="C127" s="213"/>
      <c r="D127" s="213"/>
      <c r="E127" s="213"/>
      <c r="F127" s="229"/>
      <c r="G127" s="229"/>
      <c r="H127" s="229"/>
      <c r="I127" s="229"/>
      <c r="J127" s="229"/>
    </row>
    <row r="128" spans="1:10" x14ac:dyDescent="0.25">
      <c r="A128" s="1"/>
      <c r="B128" s="231" t="s">
        <v>48</v>
      </c>
      <c r="C128" s="213"/>
      <c r="D128" s="213"/>
      <c r="E128" s="213"/>
      <c r="F128" s="195">
        <f>+Assumptions!C24</f>
        <v>3.5499999999999997E-2</v>
      </c>
      <c r="G128" s="195">
        <f>+Assumptions!D24</f>
        <v>0.04</v>
      </c>
      <c r="H128" s="195">
        <f>+Assumptions!E24</f>
        <v>4.4999999999999998E-2</v>
      </c>
      <c r="I128" s="195">
        <f>+Assumptions!F24</f>
        <v>0.05</v>
      </c>
      <c r="J128" s="195">
        <f>+Assumptions!G24</f>
        <v>5.5E-2</v>
      </c>
    </row>
    <row r="129" spans="1:10" x14ac:dyDescent="0.25">
      <c r="A129" s="1"/>
      <c r="B129" s="231" t="s">
        <v>49</v>
      </c>
      <c r="C129" s="213"/>
      <c r="D129" s="213"/>
      <c r="E129" s="213"/>
      <c r="F129" s="195">
        <f>+Assumptions!C25</f>
        <v>1.1499999999999999</v>
      </c>
      <c r="G129" s="195">
        <f>+Assumptions!D25</f>
        <v>1</v>
      </c>
      <c r="H129" s="195">
        <f>+Assumptions!E25</f>
        <v>1</v>
      </c>
      <c r="I129" s="195">
        <f>+Assumptions!F25</f>
        <v>1</v>
      </c>
      <c r="J129" s="195">
        <f>+Assumptions!G25</f>
        <v>1</v>
      </c>
    </row>
    <row r="130" spans="1:10" x14ac:dyDescent="0.25">
      <c r="A130" s="1"/>
      <c r="C130" s="213"/>
      <c r="D130" s="213"/>
      <c r="E130" s="213"/>
      <c r="F130" s="229"/>
      <c r="G130" s="229"/>
      <c r="H130" s="229"/>
      <c r="I130" s="229"/>
      <c r="J130" s="229"/>
    </row>
    <row r="131" spans="1:10" ht="15.75" x14ac:dyDescent="0.25">
      <c r="A131" s="1"/>
      <c r="B131" s="233" t="s">
        <v>146</v>
      </c>
      <c r="C131" s="223"/>
      <c r="D131" s="223"/>
      <c r="E131" s="223"/>
      <c r="F131" s="223"/>
      <c r="G131" s="223"/>
      <c r="H131" s="223"/>
      <c r="I131" s="223"/>
      <c r="J131" s="223"/>
    </row>
    <row r="132" spans="1:10" x14ac:dyDescent="0.25">
      <c r="A132" s="1"/>
      <c r="B132" s="75" t="s">
        <v>147</v>
      </c>
      <c r="F132" s="167">
        <f>+E136</f>
        <v>368.24099999999999</v>
      </c>
      <c r="G132" s="167">
        <f t="shared" ref="G132:J132" ca="1" si="57">+F136</f>
        <v>368.73745770370704</v>
      </c>
      <c r="H132" s="167">
        <f t="shared" ca="1" si="57"/>
        <v>375.32918887496078</v>
      </c>
      <c r="I132" s="167">
        <f t="shared" ca="1" si="57"/>
        <v>391.55288725100365</v>
      </c>
      <c r="J132" s="167">
        <f t="shared" ca="1" si="57"/>
        <v>417.54931601763013</v>
      </c>
    </row>
    <row r="133" spans="1:10" x14ac:dyDescent="0.25">
      <c r="A133" s="1"/>
      <c r="B133" s="238" t="s">
        <v>148</v>
      </c>
      <c r="F133" s="239">
        <f ca="1">+F22</f>
        <v>5.1922885185351468</v>
      </c>
      <c r="G133" s="239">
        <f ca="1">+G22</f>
        <v>21.972437237512452</v>
      </c>
      <c r="H133" s="239">
        <f ca="1">+H22</f>
        <v>32.447396752085751</v>
      </c>
      <c r="I133" s="239">
        <f ca="1">+I22</f>
        <v>43.327381277710884</v>
      </c>
      <c r="J133" s="239">
        <f ca="1">+J22</f>
        <v>51.051468963903929</v>
      </c>
    </row>
    <row r="134" spans="1:10" x14ac:dyDescent="0.25">
      <c r="A134" s="1"/>
      <c r="B134" s="240" t="s">
        <v>149</v>
      </c>
      <c r="F134" s="239">
        <f>+F184*-1</f>
        <v>-0.54200000000000004</v>
      </c>
      <c r="G134" s="239">
        <f t="shared" ref="G134:J134" si="58">+G184*-1</f>
        <v>0</v>
      </c>
      <c r="H134" s="239">
        <f t="shared" si="58"/>
        <v>0</v>
      </c>
      <c r="I134" s="239">
        <f t="shared" si="58"/>
        <v>0</v>
      </c>
      <c r="J134" s="239">
        <f t="shared" si="58"/>
        <v>0</v>
      </c>
    </row>
    <row r="135" spans="1:10" x14ac:dyDescent="0.25">
      <c r="A135" s="1"/>
      <c r="B135" s="224" t="s">
        <v>150</v>
      </c>
      <c r="C135" s="76"/>
      <c r="D135" s="76"/>
      <c r="E135" s="76"/>
      <c r="F135" s="215">
        <f ca="1">+MAX(F133*F138,0)*-1</f>
        <v>-4.153830814828118</v>
      </c>
      <c r="G135" s="215">
        <f t="shared" ref="G135:J135" ca="1" si="59">+MAX(G133*G138,0)*-1</f>
        <v>-15.380706066258716</v>
      </c>
      <c r="H135" s="215">
        <f t="shared" ca="1" si="59"/>
        <v>-16.223698376042876</v>
      </c>
      <c r="I135" s="215">
        <f t="shared" ca="1" si="59"/>
        <v>-17.330952511084355</v>
      </c>
      <c r="J135" s="215">
        <f t="shared" ca="1" si="59"/>
        <v>-20.420587585561574</v>
      </c>
    </row>
    <row r="136" spans="1:10" x14ac:dyDescent="0.25">
      <c r="A136" s="1"/>
      <c r="B136" s="232" t="s">
        <v>151</v>
      </c>
      <c r="C136" s="226"/>
      <c r="D136" s="211">
        <f>+D62</f>
        <v>369.7</v>
      </c>
      <c r="E136" s="211">
        <f>+E62</f>
        <v>368.24099999999999</v>
      </c>
      <c r="F136" s="241">
        <f ca="1">SUM(F132:F135)</f>
        <v>368.73745770370704</v>
      </c>
      <c r="G136" s="241">
        <f t="shared" ref="G136:J136" ca="1" si="60">SUM(G132:G135)</f>
        <v>375.32918887496078</v>
      </c>
      <c r="H136" s="241">
        <f t="shared" ca="1" si="60"/>
        <v>391.55288725100365</v>
      </c>
      <c r="I136" s="241">
        <f t="shared" ca="1" si="60"/>
        <v>417.54931601763013</v>
      </c>
      <c r="J136" s="241">
        <f t="shared" ca="1" si="60"/>
        <v>448.18019739597247</v>
      </c>
    </row>
    <row r="137" spans="1:10" x14ac:dyDescent="0.25">
      <c r="A137" s="1"/>
      <c r="C137" s="213"/>
      <c r="D137" s="213"/>
      <c r="E137" s="213"/>
      <c r="F137" s="229"/>
      <c r="G137" s="229"/>
      <c r="H137" s="229"/>
      <c r="I137" s="229"/>
      <c r="J137" s="229"/>
    </row>
    <row r="138" spans="1:10" x14ac:dyDescent="0.25">
      <c r="A138" s="7" t="s">
        <v>1</v>
      </c>
      <c r="B138" s="231" t="s">
        <v>51</v>
      </c>
      <c r="C138" s="213"/>
      <c r="D138" s="213"/>
      <c r="E138" s="213"/>
      <c r="F138" s="195">
        <f>+Assumptions!C28</f>
        <v>0.8</v>
      </c>
      <c r="G138" s="195">
        <f>+Assumptions!D28</f>
        <v>0.7</v>
      </c>
      <c r="H138" s="195">
        <f>+Assumptions!E28</f>
        <v>0.5</v>
      </c>
      <c r="I138" s="195">
        <f>+Assumptions!F28</f>
        <v>0.4</v>
      </c>
      <c r="J138" s="195">
        <f>+Assumptions!G28</f>
        <v>0.4</v>
      </c>
    </row>
    <row r="139" spans="1:10" x14ac:dyDescent="0.25">
      <c r="A139" s="7"/>
      <c r="B139" s="231"/>
      <c r="C139" s="213"/>
      <c r="D139" s="213"/>
      <c r="E139" s="213"/>
      <c r="F139" s="195"/>
      <c r="G139" s="195"/>
      <c r="H139" s="195"/>
      <c r="I139" s="195"/>
      <c r="J139" s="195"/>
    </row>
    <row r="140" spans="1:10" ht="15.75" x14ac:dyDescent="0.25">
      <c r="A140" s="1"/>
      <c r="B140" s="233" t="s">
        <v>107</v>
      </c>
      <c r="C140" s="223"/>
      <c r="D140" s="223"/>
      <c r="E140" s="223"/>
      <c r="F140" s="223"/>
      <c r="G140" s="223"/>
      <c r="H140" s="223"/>
      <c r="I140" s="223"/>
      <c r="J140" s="223"/>
    </row>
    <row r="141" spans="1:10" x14ac:dyDescent="0.25">
      <c r="A141" s="1"/>
      <c r="B141" s="75" t="s">
        <v>152</v>
      </c>
      <c r="F141" s="167">
        <f>+E144</f>
        <v>3.6</v>
      </c>
      <c r="G141" s="167">
        <f t="shared" ref="G141:J141" ca="1" si="61">+F144</f>
        <v>2.4000000000000004</v>
      </c>
      <c r="H141" s="167">
        <f t="shared" ca="1" si="61"/>
        <v>1.2000000000000004</v>
      </c>
      <c r="I141" s="167">
        <f t="shared" ca="1" si="61"/>
        <v>4.4408920985006262E-16</v>
      </c>
      <c r="J141" s="167">
        <f t="shared" ca="1" si="61"/>
        <v>4.4408920985006262E-16</v>
      </c>
    </row>
    <row r="142" spans="1:10" x14ac:dyDescent="0.25">
      <c r="A142" s="1"/>
      <c r="B142" s="75" t="s">
        <v>153</v>
      </c>
      <c r="F142" s="203">
        <v>-1.2</v>
      </c>
      <c r="G142" s="203">
        <v>-1.2</v>
      </c>
      <c r="H142" s="203">
        <v>-1.2</v>
      </c>
      <c r="I142" s="203"/>
      <c r="J142" s="203"/>
    </row>
    <row r="143" spans="1:10" x14ac:dyDescent="0.25">
      <c r="A143" s="1"/>
      <c r="B143" s="75" t="s">
        <v>154</v>
      </c>
      <c r="F143" s="167">
        <f t="shared" ref="F143:J143" ca="1" si="62">+F146*F161</f>
        <v>0</v>
      </c>
      <c r="G143" s="167">
        <f t="shared" ca="1" si="62"/>
        <v>0</v>
      </c>
      <c r="H143" s="167">
        <f t="shared" ca="1" si="62"/>
        <v>0</v>
      </c>
      <c r="I143" s="167">
        <f t="shared" ca="1" si="62"/>
        <v>0</v>
      </c>
      <c r="J143" s="167">
        <f t="shared" ca="1" si="62"/>
        <v>0</v>
      </c>
    </row>
    <row r="144" spans="1:10" x14ac:dyDescent="0.25">
      <c r="A144" s="1"/>
      <c r="B144" s="220" t="s">
        <v>155</v>
      </c>
      <c r="C144" s="242"/>
      <c r="D144" s="241">
        <f>+D53</f>
        <v>5.3</v>
      </c>
      <c r="E144" s="241">
        <f>+E53</f>
        <v>3.6</v>
      </c>
      <c r="F144" s="241">
        <f ca="1">SUM(F141:F143)</f>
        <v>2.4000000000000004</v>
      </c>
      <c r="G144" s="241">
        <f t="shared" ref="G144:J144" ca="1" si="63">SUM(G141:G143)</f>
        <v>1.2000000000000004</v>
      </c>
      <c r="H144" s="241">
        <f t="shared" ca="1" si="63"/>
        <v>4.4408920985006262E-16</v>
      </c>
      <c r="I144" s="241">
        <f t="shared" ca="1" si="63"/>
        <v>4.4408920985006262E-16</v>
      </c>
      <c r="J144" s="241">
        <f t="shared" ca="1" si="63"/>
        <v>4.4408920985006262E-16</v>
      </c>
    </row>
    <row r="145" spans="1:13" x14ac:dyDescent="0.25">
      <c r="A145" s="1"/>
      <c r="B145" s="164"/>
      <c r="C145" s="226"/>
      <c r="D145" s="211"/>
      <c r="E145" s="211"/>
      <c r="F145" s="211"/>
      <c r="G145" s="211"/>
      <c r="H145" s="211"/>
      <c r="I145" s="211"/>
      <c r="J145" s="211"/>
    </row>
    <row r="146" spans="1:13" x14ac:dyDescent="0.25">
      <c r="A146" s="1"/>
      <c r="B146" s="175" t="s">
        <v>156</v>
      </c>
      <c r="C146" s="226"/>
      <c r="D146" s="211"/>
      <c r="E146" s="211"/>
      <c r="F146" s="243">
        <v>0</v>
      </c>
      <c r="G146" s="243">
        <v>0</v>
      </c>
      <c r="H146" s="243">
        <v>0</v>
      </c>
      <c r="I146" s="243">
        <v>0</v>
      </c>
      <c r="J146" s="243">
        <v>0</v>
      </c>
    </row>
    <row r="147" spans="1:13" s="40" customFormat="1" x14ac:dyDescent="0.25">
      <c r="A147" s="1"/>
      <c r="B147" s="175" t="s">
        <v>157</v>
      </c>
      <c r="C147" s="244"/>
      <c r="D147" s="131"/>
      <c r="E147" s="131"/>
      <c r="F147" s="139">
        <f>1-F146</f>
        <v>1</v>
      </c>
      <c r="G147" s="139">
        <f t="shared" ref="G147:J147" si="64">1-G146</f>
        <v>1</v>
      </c>
      <c r="H147" s="139">
        <f t="shared" si="64"/>
        <v>1</v>
      </c>
      <c r="I147" s="139">
        <f t="shared" si="64"/>
        <v>1</v>
      </c>
      <c r="J147" s="139">
        <f t="shared" si="64"/>
        <v>1</v>
      </c>
    </row>
    <row r="148" spans="1:13" x14ac:dyDescent="0.25">
      <c r="A148" s="7"/>
      <c r="B148" s="231"/>
      <c r="C148" s="213"/>
      <c r="D148" s="213"/>
      <c r="E148" s="213"/>
      <c r="F148" s="195"/>
      <c r="G148" s="195"/>
      <c r="H148" s="195"/>
      <c r="I148" s="195"/>
      <c r="J148" s="195"/>
    </row>
    <row r="149" spans="1:13" ht="15.75" x14ac:dyDescent="0.25">
      <c r="A149" s="1"/>
      <c r="B149" s="233" t="s">
        <v>110</v>
      </c>
      <c r="C149" s="223"/>
      <c r="D149" s="223"/>
      <c r="E149" s="223"/>
      <c r="F149" s="223"/>
      <c r="G149" s="223"/>
      <c r="H149" s="223"/>
      <c r="I149" s="223"/>
      <c r="J149" s="223"/>
    </row>
    <row r="150" spans="1:13" x14ac:dyDescent="0.25">
      <c r="A150" s="1"/>
      <c r="B150" s="75" t="s">
        <v>158</v>
      </c>
      <c r="F150" s="167">
        <f>+E152</f>
        <v>0</v>
      </c>
      <c r="G150" s="167">
        <f t="shared" ref="G150:J150" ca="1" si="65">+F152</f>
        <v>0</v>
      </c>
      <c r="H150" s="167">
        <f t="shared" ca="1" si="65"/>
        <v>0</v>
      </c>
      <c r="I150" s="167">
        <f t="shared" ca="1" si="65"/>
        <v>0</v>
      </c>
      <c r="J150" s="167">
        <f t="shared" ca="1" si="65"/>
        <v>0</v>
      </c>
    </row>
    <row r="151" spans="1:13" x14ac:dyDescent="0.25">
      <c r="A151" s="1"/>
      <c r="B151" s="224" t="s">
        <v>159</v>
      </c>
      <c r="C151" s="76"/>
      <c r="D151" s="76"/>
      <c r="E151" s="76"/>
      <c r="F151" s="230">
        <f t="shared" ref="F151:J151" ca="1" si="66">-MIN(F150,F158)</f>
        <v>0</v>
      </c>
      <c r="G151" s="230">
        <f t="shared" ca="1" si="66"/>
        <v>0</v>
      </c>
      <c r="H151" s="230">
        <f t="shared" ca="1" si="66"/>
        <v>0</v>
      </c>
      <c r="I151" s="230">
        <f t="shared" ca="1" si="66"/>
        <v>0</v>
      </c>
      <c r="J151" s="230">
        <f t="shared" ca="1" si="66"/>
        <v>0</v>
      </c>
    </row>
    <row r="152" spans="1:13" x14ac:dyDescent="0.25">
      <c r="A152" s="1"/>
      <c r="B152" s="232" t="s">
        <v>160</v>
      </c>
      <c r="C152" s="226"/>
      <c r="D152" s="211">
        <f>+D56</f>
        <v>0</v>
      </c>
      <c r="E152" s="211">
        <f>+E56</f>
        <v>0</v>
      </c>
      <c r="F152" s="211">
        <f ca="1">SUM(F150:F151)</f>
        <v>0</v>
      </c>
      <c r="G152" s="211">
        <f t="shared" ref="G152:J152" ca="1" si="67">SUM(G150:G151)</f>
        <v>0</v>
      </c>
      <c r="H152" s="211">
        <f t="shared" ca="1" si="67"/>
        <v>0</v>
      </c>
      <c r="I152" s="211">
        <f t="shared" ca="1" si="67"/>
        <v>0</v>
      </c>
      <c r="J152" s="211">
        <f t="shared" ca="1" si="67"/>
        <v>0</v>
      </c>
    </row>
    <row r="153" spans="1:13" x14ac:dyDescent="0.25">
      <c r="A153" s="1"/>
      <c r="C153" s="213"/>
      <c r="D153" s="213"/>
      <c r="E153" s="213"/>
      <c r="F153" s="245"/>
      <c r="G153" s="245"/>
      <c r="H153" s="245"/>
      <c r="I153" s="245"/>
      <c r="J153" s="245"/>
    </row>
    <row r="154" spans="1:13" x14ac:dyDescent="0.25">
      <c r="A154" s="1"/>
      <c r="C154" s="213"/>
      <c r="D154" s="213"/>
      <c r="E154" s="213"/>
      <c r="F154" s="245"/>
      <c r="G154" s="245"/>
      <c r="H154" s="245"/>
      <c r="I154" s="245"/>
      <c r="J154" s="245"/>
    </row>
    <row r="155" spans="1:13" x14ac:dyDescent="0.25">
      <c r="A155" s="1"/>
      <c r="B155" s="231" t="s">
        <v>161</v>
      </c>
      <c r="C155" s="213"/>
      <c r="D155" s="213"/>
      <c r="E155" s="213"/>
      <c r="F155" s="159">
        <f>+E41</f>
        <v>139.9</v>
      </c>
      <c r="G155" s="159">
        <f ca="1">+F41</f>
        <v>130.41062920087415</v>
      </c>
      <c r="H155" s="159">
        <f ca="1">+G41</f>
        <v>150.42934888137719</v>
      </c>
      <c r="I155" s="159">
        <f ca="1">+H41</f>
        <v>176.56223783519553</v>
      </c>
      <c r="J155" s="159">
        <f ca="1">+I41</f>
        <v>208.4980266144776</v>
      </c>
    </row>
    <row r="156" spans="1:13" x14ac:dyDescent="0.25">
      <c r="A156" s="1"/>
      <c r="B156" s="231" t="s">
        <v>52</v>
      </c>
      <c r="C156" s="213"/>
      <c r="D156" s="213"/>
      <c r="E156" s="213"/>
      <c r="F156" s="246">
        <f>+Assumptions!C29</f>
        <v>100</v>
      </c>
      <c r="G156" s="246">
        <f>+Assumptions!D29</f>
        <v>100</v>
      </c>
      <c r="H156" s="246">
        <f>+Assumptions!E29</f>
        <v>100</v>
      </c>
      <c r="I156" s="246">
        <f>+Assumptions!F29</f>
        <v>100</v>
      </c>
      <c r="J156" s="246">
        <f>+Assumptions!G29</f>
        <v>100</v>
      </c>
    </row>
    <row r="157" spans="1:13" x14ac:dyDescent="0.25">
      <c r="A157" s="1"/>
      <c r="B157" s="231" t="s">
        <v>162</v>
      </c>
      <c r="C157" s="213"/>
      <c r="D157" s="213"/>
      <c r="E157" s="213"/>
      <c r="F157" s="159">
        <f>+F155-F156</f>
        <v>39.900000000000006</v>
      </c>
      <c r="G157" s="159">
        <f t="shared" ref="G157:J157" ca="1" si="68">+G155-G156</f>
        <v>30.410629200874155</v>
      </c>
      <c r="H157" s="159">
        <f t="shared" ca="1" si="68"/>
        <v>50.429348881377194</v>
      </c>
      <c r="I157" s="159">
        <f t="shared" ca="1" si="68"/>
        <v>76.562237835195532</v>
      </c>
      <c r="J157" s="159">
        <f t="shared" ca="1" si="68"/>
        <v>108.4980266144776</v>
      </c>
    </row>
    <row r="158" spans="1:13" x14ac:dyDescent="0.25">
      <c r="A158" s="1"/>
      <c r="B158" s="231" t="s">
        <v>163</v>
      </c>
      <c r="C158" s="213"/>
      <c r="D158" s="213"/>
      <c r="E158" s="247"/>
      <c r="F158" s="159">
        <f ca="1">+F157+F82+F85+F87+F88+SUM(F90:F93)</f>
        <v>30.410629200874148</v>
      </c>
      <c r="G158" s="159">
        <f ca="1">+G157+G82+G85+G87+G88+SUM(G90:G93)</f>
        <v>50.429348881377202</v>
      </c>
      <c r="H158" s="159">
        <f ca="1">+H157+H82+H85+H87+H88+SUM(H90:H93)</f>
        <v>76.562237835195518</v>
      </c>
      <c r="I158" s="159">
        <f ca="1">+I157+I82+I85+I87+I88+SUM(I90:I93)</f>
        <v>108.4980266144776</v>
      </c>
      <c r="J158" s="159">
        <f ca="1">+J157+J82+J85+J87+J88+SUM(J90:J93)</f>
        <v>149.8537255280811</v>
      </c>
      <c r="K158" s="75"/>
      <c r="L158" s="75"/>
      <c r="M158" s="75"/>
    </row>
    <row r="159" spans="1:13" x14ac:dyDescent="0.25">
      <c r="A159" s="1"/>
      <c r="C159" s="213"/>
      <c r="D159" s="213"/>
      <c r="E159" s="247"/>
      <c r="F159" s="159"/>
      <c r="G159" s="159"/>
      <c r="H159" s="159"/>
      <c r="I159" s="159"/>
      <c r="J159" s="159"/>
      <c r="K159" s="75"/>
      <c r="L159" s="75"/>
      <c r="M159" s="75"/>
    </row>
    <row r="160" spans="1:13" x14ac:dyDescent="0.25">
      <c r="A160" s="1"/>
      <c r="B160" s="231" t="s">
        <v>164</v>
      </c>
      <c r="C160" s="213"/>
      <c r="D160" s="213"/>
      <c r="E160" s="247"/>
      <c r="F160" s="248">
        <f>+Assumptions!C32</f>
        <v>6.4000000000000001E-2</v>
      </c>
      <c r="G160" s="248">
        <f>+Assumptions!D32</f>
        <v>6.4000000000000001E-2</v>
      </c>
      <c r="H160" s="248">
        <f>+Assumptions!E32</f>
        <v>6.4000000000000001E-2</v>
      </c>
      <c r="I160" s="248">
        <f>+Assumptions!F32</f>
        <v>6.4000000000000001E-2</v>
      </c>
      <c r="J160" s="248">
        <f>+Assumptions!G32</f>
        <v>6.4000000000000001E-2</v>
      </c>
      <c r="K160" s="75"/>
      <c r="L160" s="75"/>
      <c r="M160" s="75"/>
    </row>
    <row r="161" spans="1:13" x14ac:dyDescent="0.25">
      <c r="A161" s="7" t="s">
        <v>1</v>
      </c>
      <c r="B161" s="231" t="s">
        <v>83</v>
      </c>
      <c r="C161" s="213"/>
      <c r="D161" s="213"/>
      <c r="E161" s="247"/>
      <c r="F161" s="215">
        <f ca="1">+IF(circ="OFF",F160*(AVERAGE(E53:F53)+(AVERAGE(E56:F56))),0)</f>
        <v>0.192</v>
      </c>
      <c r="G161" s="215">
        <f ca="1">+IF(circ="OFF",G160*(AVERAGE(F53:G53)+(AVERAGE(F56:G56))),0)</f>
        <v>0.11520000000000002</v>
      </c>
      <c r="H161" s="215">
        <f ca="1">+IF(circ="OFF",H160*(AVERAGE(G53:H53)+(AVERAGE(G56:H56))),0)</f>
        <v>3.8400000000000024E-2</v>
      </c>
      <c r="I161" s="215">
        <f ca="1">+IF(circ="OFF",I160*(AVERAGE(H53:I53)+(AVERAGE(H56:I56))),0)</f>
        <v>2.8421709430404008E-17</v>
      </c>
      <c r="J161" s="215">
        <f ca="1">+IF(circ="OFF",J160*(AVERAGE(I53:J53)+(AVERAGE(I56:J56))),0)</f>
        <v>2.8421709430404008E-17</v>
      </c>
      <c r="K161" s="75"/>
      <c r="L161" s="75"/>
      <c r="M161" s="75"/>
    </row>
    <row r="162" spans="1:13" x14ac:dyDescent="0.25">
      <c r="A162" s="1"/>
      <c r="B162" s="249"/>
      <c r="C162" s="213"/>
      <c r="D162" s="213"/>
      <c r="E162" s="247"/>
      <c r="F162" s="159"/>
      <c r="G162" s="159"/>
      <c r="H162" s="159"/>
      <c r="I162" s="159"/>
      <c r="J162" s="159"/>
      <c r="K162" s="75"/>
      <c r="L162" s="75"/>
      <c r="M162" s="75"/>
    </row>
    <row r="163" spans="1:13" x14ac:dyDescent="0.25">
      <c r="A163" s="1"/>
      <c r="B163" s="231" t="s">
        <v>165</v>
      </c>
      <c r="C163" s="213"/>
      <c r="D163" s="213"/>
      <c r="E163" s="247"/>
      <c r="F163" s="248">
        <f>+Assumptions!C35</f>
        <v>6.0000000000000001E-3</v>
      </c>
      <c r="G163" s="248">
        <f>+Assumptions!D35</f>
        <v>6.0000000000000001E-3</v>
      </c>
      <c r="H163" s="248">
        <f>+Assumptions!E35</f>
        <v>6.0000000000000001E-3</v>
      </c>
      <c r="I163" s="248">
        <f>+Assumptions!F35</f>
        <v>6.0000000000000001E-3</v>
      </c>
      <c r="J163" s="248">
        <f>+Assumptions!G35</f>
        <v>6.0000000000000001E-3</v>
      </c>
      <c r="K163" s="75"/>
      <c r="L163" s="75"/>
      <c r="M163" s="75"/>
    </row>
    <row r="164" spans="1:13" x14ac:dyDescent="0.25">
      <c r="A164" s="7" t="s">
        <v>1</v>
      </c>
      <c r="B164" s="231" t="s">
        <v>82</v>
      </c>
      <c r="C164" s="213"/>
      <c r="D164" s="213"/>
      <c r="E164" s="247"/>
      <c r="F164" s="215">
        <f ca="1">+IF(circ="OFF",FSM!F163*AVERAGE(FSM!E41:F41),0)</f>
        <v>0.81093188760262236</v>
      </c>
      <c r="G164" s="215">
        <f ca="1">+IF(circ="OFF",FSM!G163*AVERAGE(FSM!F41:G41),0)</f>
        <v>0.8425199342467542</v>
      </c>
      <c r="H164" s="215">
        <f ca="1">+IF(circ="OFF",FSM!H163*AVERAGE(FSM!G41:H41),0)</f>
        <v>0.98097476014971818</v>
      </c>
      <c r="I164" s="215">
        <f ca="1">+IF(circ="OFF",FSM!I163*AVERAGE(FSM!H41:I41),0)</f>
        <v>1.1551807933490195</v>
      </c>
      <c r="J164" s="215">
        <f ca="1">+IF(circ="OFF",FSM!J163*AVERAGE(FSM!I41:J41),0)</f>
        <v>1.3750552564276761</v>
      </c>
      <c r="K164" s="75"/>
      <c r="L164" s="75"/>
      <c r="M164" s="75"/>
    </row>
    <row r="165" spans="1:13" x14ac:dyDescent="0.25">
      <c r="A165" s="7"/>
      <c r="B165" s="231"/>
      <c r="C165" s="213"/>
      <c r="D165" s="213"/>
      <c r="E165" s="247"/>
      <c r="F165" s="215"/>
      <c r="G165" s="215"/>
      <c r="H165" s="215"/>
      <c r="I165" s="215"/>
      <c r="J165" s="215"/>
      <c r="K165" s="75"/>
      <c r="L165" s="75"/>
      <c r="M165" s="75"/>
    </row>
    <row r="166" spans="1:13" x14ac:dyDescent="0.25">
      <c r="A166" s="7"/>
      <c r="B166" s="231"/>
      <c r="C166" s="213"/>
      <c r="D166" s="213"/>
      <c r="E166" s="247"/>
      <c r="F166" s="215"/>
      <c r="G166" s="215"/>
      <c r="H166" s="215"/>
      <c r="I166" s="215"/>
      <c r="J166" s="215"/>
      <c r="K166" s="75"/>
      <c r="L166" s="75"/>
      <c r="M166" s="75"/>
    </row>
    <row r="167" spans="1:13" x14ac:dyDescent="0.25">
      <c r="A167" s="1"/>
      <c r="B167" s="232" t="s">
        <v>166</v>
      </c>
      <c r="C167" s="213"/>
      <c r="D167" s="213"/>
      <c r="E167" s="213"/>
      <c r="F167" s="245"/>
      <c r="G167" s="245"/>
      <c r="H167" s="245"/>
      <c r="I167" s="245"/>
      <c r="J167" s="245"/>
    </row>
    <row r="168" spans="1:13" x14ac:dyDescent="0.25">
      <c r="A168" s="1"/>
      <c r="B168" s="250" t="s">
        <v>167</v>
      </c>
      <c r="C168" s="251"/>
      <c r="D168" s="252">
        <f t="shared" ref="D168:J168" si="69">+D8</f>
        <v>2014</v>
      </c>
      <c r="E168" s="252">
        <f t="shared" si="69"/>
        <v>2015</v>
      </c>
      <c r="F168" s="253">
        <f t="shared" si="69"/>
        <v>2016</v>
      </c>
      <c r="G168" s="253">
        <f t="shared" si="69"/>
        <v>2017</v>
      </c>
      <c r="H168" s="253">
        <f t="shared" si="69"/>
        <v>2018</v>
      </c>
      <c r="I168" s="253">
        <f t="shared" si="69"/>
        <v>2019</v>
      </c>
      <c r="J168" s="253">
        <f t="shared" si="69"/>
        <v>2020</v>
      </c>
    </row>
    <row r="169" spans="1:13" x14ac:dyDescent="0.25">
      <c r="A169" s="1"/>
      <c r="B169" s="137" t="s">
        <v>168</v>
      </c>
      <c r="C169" s="254"/>
      <c r="D169" s="255">
        <f>+DATE(YEAR('Cover Sheet'!C8)-2,2,1)</f>
        <v>41306</v>
      </c>
      <c r="E169" s="255">
        <f>DATE(YEAR('Cover Sheet'!C8)-1,2,1)</f>
        <v>41671</v>
      </c>
      <c r="F169" s="255">
        <f>+DATE(YEAR('Cover Sheet'!C8)+1,2,1)</f>
        <v>42401</v>
      </c>
      <c r="G169" s="255">
        <f>+DATE(YEAR('Cover Sheet'!D8)+1,2,1)</f>
        <v>398</v>
      </c>
      <c r="H169" s="255">
        <f>+DATE(YEAR('Cover Sheet'!E8)+1,2,1)</f>
        <v>398</v>
      </c>
      <c r="I169" s="255">
        <f>+DATE(YEAR('Cover Sheet'!F8)+1,2,1)</f>
        <v>398</v>
      </c>
      <c r="J169" s="255">
        <f>+DATE(YEAR('Cover Sheet'!G8)+1,2,1)</f>
        <v>398</v>
      </c>
    </row>
    <row r="170" spans="1:13" x14ac:dyDescent="0.25">
      <c r="A170" s="1"/>
      <c r="B170" s="75"/>
      <c r="C170" s="247"/>
      <c r="D170" s="256"/>
      <c r="E170" s="256"/>
      <c r="F170" s="256"/>
      <c r="G170" s="256"/>
      <c r="H170" s="256"/>
      <c r="I170" s="256"/>
      <c r="J170" s="256"/>
    </row>
    <row r="171" spans="1:13" ht="15.75" x14ac:dyDescent="0.25">
      <c r="A171" s="1"/>
      <c r="B171" s="233" t="s">
        <v>169</v>
      </c>
      <c r="C171" s="257"/>
      <c r="D171" s="257"/>
      <c r="E171" s="257"/>
      <c r="F171" s="257"/>
      <c r="G171" s="257"/>
      <c r="H171" s="257"/>
      <c r="I171" s="257"/>
      <c r="J171" s="257"/>
    </row>
    <row r="172" spans="1:13" x14ac:dyDescent="0.25">
      <c r="A172" s="1"/>
      <c r="B172" s="75" t="s">
        <v>170</v>
      </c>
      <c r="F172" s="167">
        <f>+E175</f>
        <v>47.2</v>
      </c>
      <c r="G172" s="167">
        <f t="shared" ref="G172:J172" ca="1" si="70">+F175</f>
        <v>47.9522489744</v>
      </c>
      <c r="H172" s="167">
        <f t="shared" ca="1" si="70"/>
        <v>48.685597220799998</v>
      </c>
      <c r="I172" s="167">
        <f t="shared" ca="1" si="70"/>
        <v>49.414825108495997</v>
      </c>
      <c r="J172" s="167">
        <f t="shared" ca="1" si="70"/>
        <v>50.143365765721917</v>
      </c>
    </row>
    <row r="173" spans="1:13" x14ac:dyDescent="0.25">
      <c r="A173" s="1"/>
      <c r="B173" s="238" t="s">
        <v>171</v>
      </c>
      <c r="F173" s="239">
        <f>+F177</f>
        <v>0</v>
      </c>
      <c r="G173" s="239">
        <f t="shared" ref="G173:J173" si="71">+G177</f>
        <v>0</v>
      </c>
      <c r="H173" s="239">
        <f t="shared" si="71"/>
        <v>0</v>
      </c>
      <c r="I173" s="239">
        <f t="shared" si="71"/>
        <v>0</v>
      </c>
      <c r="J173" s="239">
        <f t="shared" si="71"/>
        <v>0</v>
      </c>
    </row>
    <row r="174" spans="1:13" x14ac:dyDescent="0.25">
      <c r="A174" s="1"/>
      <c r="B174" s="224" t="s">
        <v>172</v>
      </c>
      <c r="C174" s="76"/>
      <c r="D174" s="76"/>
      <c r="E174" s="76"/>
      <c r="F174" s="215">
        <f ca="1">-F178</f>
        <v>0.75224897439999994</v>
      </c>
      <c r="G174" s="215">
        <f ca="1">-G178</f>
        <v>0.73334824640000007</v>
      </c>
      <c r="H174" s="215">
        <f ca="1">-H178</f>
        <v>0.72922788769600011</v>
      </c>
      <c r="I174" s="215">
        <f ca="1">-I178</f>
        <v>0.7285406572259201</v>
      </c>
      <c r="J174" s="215">
        <f ca="1">-J178</f>
        <v>0.73160207807277355</v>
      </c>
    </row>
    <row r="175" spans="1:13" x14ac:dyDescent="0.25">
      <c r="A175" s="1"/>
      <c r="B175" s="232" t="s">
        <v>173</v>
      </c>
      <c r="C175" s="226"/>
      <c r="D175" s="211">
        <f>+D59</f>
        <v>46.4</v>
      </c>
      <c r="E175" s="211">
        <f>+E59</f>
        <v>47.2</v>
      </c>
      <c r="F175" s="241">
        <f ca="1">+SUM(F172:F174)</f>
        <v>47.9522489744</v>
      </c>
      <c r="G175" s="241">
        <f ca="1">+SUM(G172:G174)</f>
        <v>48.685597220799998</v>
      </c>
      <c r="H175" s="241">
        <f ca="1">+SUM(H172:H174)</f>
        <v>49.414825108495997</v>
      </c>
      <c r="I175" s="241">
        <f ca="1">+SUM(I172:I174)</f>
        <v>50.143365765721917</v>
      </c>
      <c r="J175" s="241">
        <f ca="1">+SUM(J172:J174)</f>
        <v>50.874967843794693</v>
      </c>
    </row>
    <row r="176" spans="1:13" x14ac:dyDescent="0.25">
      <c r="A176" s="1"/>
      <c r="B176" s="75"/>
      <c r="C176" s="247"/>
      <c r="D176" s="256"/>
      <c r="E176" s="256"/>
      <c r="F176" s="256"/>
      <c r="G176" s="256"/>
      <c r="H176" s="256"/>
      <c r="I176" s="256"/>
      <c r="J176" s="256"/>
    </row>
    <row r="177" spans="1:10" x14ac:dyDescent="0.25">
      <c r="A177" s="1"/>
      <c r="B177" s="75" t="s">
        <v>174</v>
      </c>
      <c r="C177" s="247"/>
      <c r="D177" s="108">
        <v>0</v>
      </c>
      <c r="E177" s="108">
        <v>0</v>
      </c>
      <c r="F177" s="108">
        <v>0</v>
      </c>
      <c r="G177" s="108"/>
      <c r="H177" s="108"/>
      <c r="I177" s="108"/>
      <c r="J177" s="108"/>
    </row>
    <row r="178" spans="1:10" x14ac:dyDescent="0.25">
      <c r="A178" s="1"/>
      <c r="B178" s="75" t="s">
        <v>89</v>
      </c>
      <c r="C178" s="247"/>
      <c r="D178" s="131">
        <f>+D25</f>
        <v>-0.7</v>
      </c>
      <c r="E178" s="131">
        <f>+E25</f>
        <v>-0.82599999999999996</v>
      </c>
      <c r="F178" s="131">
        <f ca="1">+F179*(F10+F13)</f>
        <v>-0.75224897439999994</v>
      </c>
      <c r="G178" s="131">
        <f ca="1">+G179*(G10+G13)</f>
        <v>-0.73334824640000007</v>
      </c>
      <c r="H178" s="131">
        <f ca="1">+H179*(H10+H13)</f>
        <v>-0.72922788769600011</v>
      </c>
      <c r="I178" s="131">
        <f ca="1">+I179*(I10+I13)</f>
        <v>-0.7285406572259201</v>
      </c>
      <c r="J178" s="131">
        <f ca="1">+J179*(J10+J13)</f>
        <v>-0.73160207807277355</v>
      </c>
    </row>
    <row r="179" spans="1:10" x14ac:dyDescent="0.25">
      <c r="A179" s="1"/>
      <c r="B179" s="136" t="str">
        <f>+Assumptions!B38</f>
        <v>Stock Based Compensation as % of Total Exp.</v>
      </c>
      <c r="C179" s="247"/>
      <c r="D179" s="258">
        <f>+D178/(D10+D13)</f>
        <v>7.3878627968337722E-4</v>
      </c>
      <c r="E179" s="258">
        <f>+E178/(E10+E13)</f>
        <v>8.9909654947207998E-4</v>
      </c>
      <c r="F179" s="248">
        <f>+Assumptions!C38</f>
        <v>8.0000000000000004E-4</v>
      </c>
      <c r="G179" s="248">
        <f>+Assumptions!D38</f>
        <v>8.0000000000000004E-4</v>
      </c>
      <c r="H179" s="248">
        <f>+Assumptions!E38</f>
        <v>8.0000000000000004E-4</v>
      </c>
      <c r="I179" s="248">
        <f>+Assumptions!F38</f>
        <v>8.0000000000000004E-4</v>
      </c>
      <c r="J179" s="248">
        <f>+Assumptions!G38</f>
        <v>8.0000000000000004E-4</v>
      </c>
    </row>
    <row r="180" spans="1:10" x14ac:dyDescent="0.25">
      <c r="A180" s="1"/>
      <c r="B180" s="75"/>
      <c r="C180" s="247"/>
      <c r="D180" s="256"/>
      <c r="E180" s="256"/>
      <c r="F180" s="256"/>
      <c r="G180" s="256"/>
      <c r="H180" s="256"/>
      <c r="I180" s="256"/>
      <c r="J180" s="256"/>
    </row>
    <row r="181" spans="1:10" ht="15.75" x14ac:dyDescent="0.25">
      <c r="A181" s="1"/>
      <c r="B181" s="233" t="s">
        <v>175</v>
      </c>
      <c r="C181" s="257"/>
      <c r="D181" s="257"/>
      <c r="E181" s="257"/>
      <c r="F181" s="257"/>
      <c r="G181" s="257"/>
      <c r="H181" s="257"/>
      <c r="I181" s="257"/>
      <c r="J181" s="257"/>
    </row>
    <row r="182" spans="1:10" x14ac:dyDescent="0.25">
      <c r="A182" s="1"/>
      <c r="B182" s="75" t="s">
        <v>170</v>
      </c>
      <c r="E182" s="239"/>
      <c r="F182" s="167">
        <f>+E186</f>
        <v>0</v>
      </c>
      <c r="G182" s="167">
        <f t="shared" ref="G182:J182" si="72">+F186</f>
        <v>0</v>
      </c>
      <c r="H182" s="167">
        <f t="shared" si="72"/>
        <v>0</v>
      </c>
      <c r="I182" s="167">
        <f t="shared" si="72"/>
        <v>0</v>
      </c>
      <c r="J182" s="167">
        <f t="shared" si="72"/>
        <v>0</v>
      </c>
    </row>
    <row r="183" spans="1:10" x14ac:dyDescent="0.25">
      <c r="A183" s="1"/>
      <c r="B183" s="238" t="s">
        <v>176</v>
      </c>
      <c r="E183" s="239"/>
      <c r="F183" s="239">
        <f>+F188</f>
        <v>-0.54200000000000004</v>
      </c>
      <c r="G183" s="239">
        <f t="shared" ref="G183:J183" si="73">+G188</f>
        <v>0</v>
      </c>
      <c r="H183" s="239">
        <f t="shared" si="73"/>
        <v>0</v>
      </c>
      <c r="I183" s="239">
        <f t="shared" si="73"/>
        <v>0</v>
      </c>
      <c r="J183" s="239">
        <f t="shared" si="73"/>
        <v>0</v>
      </c>
    </row>
    <row r="184" spans="1:10" x14ac:dyDescent="0.25">
      <c r="A184" s="1"/>
      <c r="B184" s="238" t="s">
        <v>177</v>
      </c>
      <c r="F184" s="167">
        <f t="shared" ref="F184:J184" si="74">+F189*F188*-1</f>
        <v>0.54200000000000004</v>
      </c>
      <c r="G184" s="167">
        <f t="shared" si="74"/>
        <v>0</v>
      </c>
      <c r="H184" s="167">
        <f t="shared" si="74"/>
        <v>0</v>
      </c>
      <c r="I184" s="167">
        <f t="shared" si="74"/>
        <v>0</v>
      </c>
      <c r="J184" s="167">
        <f t="shared" si="74"/>
        <v>0</v>
      </c>
    </row>
    <row r="185" spans="1:10" x14ac:dyDescent="0.25">
      <c r="A185" s="1"/>
      <c r="B185" s="238" t="s">
        <v>178</v>
      </c>
      <c r="F185" s="167">
        <f>+F190*F182*-1</f>
        <v>0</v>
      </c>
      <c r="G185" s="167">
        <f t="shared" ref="G185:J185" si="75">+G190*G182*-1</f>
        <v>0</v>
      </c>
      <c r="H185" s="167">
        <f t="shared" si="75"/>
        <v>0</v>
      </c>
      <c r="I185" s="167">
        <f t="shared" si="75"/>
        <v>0</v>
      </c>
      <c r="J185" s="167">
        <f t="shared" si="75"/>
        <v>0</v>
      </c>
    </row>
    <row r="186" spans="1:10" x14ac:dyDescent="0.25">
      <c r="A186" s="1"/>
      <c r="B186" s="220" t="s">
        <v>173</v>
      </c>
      <c r="C186" s="242"/>
      <c r="D186" s="241">
        <f>+D61</f>
        <v>0</v>
      </c>
      <c r="E186" s="241">
        <f>+E61</f>
        <v>0</v>
      </c>
      <c r="F186" s="241">
        <f>SUM(F182:F185)</f>
        <v>0</v>
      </c>
      <c r="G186" s="241">
        <f t="shared" ref="G186:J186" si="76">SUM(G182:G185)</f>
        <v>0</v>
      </c>
      <c r="H186" s="241">
        <f t="shared" si="76"/>
        <v>0</v>
      </c>
      <c r="I186" s="241">
        <f t="shared" si="76"/>
        <v>0</v>
      </c>
      <c r="J186" s="241">
        <f t="shared" si="76"/>
        <v>0</v>
      </c>
    </row>
    <row r="187" spans="1:10" x14ac:dyDescent="0.25">
      <c r="A187" s="1"/>
      <c r="B187" s="75"/>
      <c r="C187" s="247"/>
      <c r="D187" s="256"/>
      <c r="E187" s="256"/>
      <c r="F187" s="256"/>
      <c r="G187" s="256"/>
      <c r="H187" s="256"/>
      <c r="I187" s="256"/>
      <c r="J187" s="256"/>
    </row>
    <row r="188" spans="1:10" x14ac:dyDescent="0.25">
      <c r="A188" s="1"/>
      <c r="B188" s="75" t="s">
        <v>179</v>
      </c>
      <c r="C188" s="247"/>
      <c r="D188" s="256"/>
      <c r="E188" s="256"/>
      <c r="F188" s="108">
        <v>-0.54200000000000004</v>
      </c>
      <c r="G188" s="108"/>
      <c r="H188" s="108"/>
      <c r="I188" s="108"/>
      <c r="J188" s="108"/>
    </row>
    <row r="189" spans="1:10" x14ac:dyDescent="0.25">
      <c r="A189" s="1"/>
      <c r="B189" s="75" t="s">
        <v>180</v>
      </c>
      <c r="C189" s="247"/>
      <c r="D189" s="248"/>
      <c r="E189" s="248"/>
      <c r="F189" s="97">
        <v>1</v>
      </c>
      <c r="G189" s="97"/>
      <c r="H189" s="97"/>
      <c r="I189" s="97"/>
      <c r="J189" s="97"/>
    </row>
    <row r="190" spans="1:10" x14ac:dyDescent="0.25">
      <c r="A190" s="1"/>
      <c r="B190" s="75" t="s">
        <v>181</v>
      </c>
      <c r="C190" s="247"/>
      <c r="D190" s="256"/>
      <c r="E190" s="256"/>
      <c r="F190" s="97"/>
      <c r="G190" s="97"/>
      <c r="H190" s="97"/>
      <c r="I190" s="97"/>
      <c r="J190" s="97"/>
    </row>
    <row r="191" spans="1:10" x14ac:dyDescent="0.25">
      <c r="A191" s="1"/>
      <c r="B191" s="75"/>
      <c r="C191" s="247"/>
      <c r="D191" s="256"/>
      <c r="E191" s="256"/>
      <c r="F191" s="159"/>
      <c r="G191" s="159"/>
      <c r="H191" s="159"/>
      <c r="I191" s="159"/>
      <c r="J191" s="159"/>
    </row>
    <row r="192" spans="1:10" ht="15.75" x14ac:dyDescent="0.25">
      <c r="A192" s="1"/>
      <c r="B192" s="233" t="s">
        <v>91</v>
      </c>
      <c r="C192" s="257"/>
      <c r="D192" s="257"/>
      <c r="E192" s="257"/>
      <c r="F192" s="257"/>
      <c r="G192" s="257"/>
      <c r="H192" s="257"/>
      <c r="I192" s="257"/>
      <c r="J192" s="257"/>
    </row>
    <row r="193" spans="1:10" x14ac:dyDescent="0.25">
      <c r="A193" s="1"/>
      <c r="B193" s="75" t="s">
        <v>170</v>
      </c>
      <c r="E193" s="239"/>
      <c r="F193" s="167">
        <f>+E197</f>
        <v>64.585999999999999</v>
      </c>
      <c r="G193" s="167">
        <f t="shared" ref="G193:J193" ca="1" si="77">+F197</f>
        <v>63.988401715664025</v>
      </c>
      <c r="H193" s="167">
        <f t="shared" ca="1" si="77"/>
        <v>64.114792294555016</v>
      </c>
      <c r="I193" s="167">
        <f t="shared" ca="1" si="77"/>
        <v>64.230840721385135</v>
      </c>
      <c r="J193" s="167">
        <f t="shared" ca="1" si="77"/>
        <v>64.337894333407789</v>
      </c>
    </row>
    <row r="194" spans="1:10" x14ac:dyDescent="0.25">
      <c r="A194" s="1"/>
      <c r="B194" s="238" t="s">
        <v>182</v>
      </c>
      <c r="E194" s="239"/>
      <c r="F194" s="239">
        <f ca="1">+(F173/F201)+((F178*-1)/F201)</f>
        <v>0.22040171566402691</v>
      </c>
      <c r="G194" s="239">
        <f t="shared" ref="G194:J194" ca="1" si="78">+(G173/G201)+((G178*-1)/G201)</f>
        <v>0.12639057889098795</v>
      </c>
      <c r="H194" s="239">
        <f t="shared" ca="1" si="78"/>
        <v>0.1160484268301134</v>
      </c>
      <c r="I194" s="239">
        <f t="shared" ca="1" si="78"/>
        <v>0.10705361202265494</v>
      </c>
      <c r="J194" s="239">
        <f t="shared" ca="1" si="78"/>
        <v>9.9264510587989532E-2</v>
      </c>
    </row>
    <row r="195" spans="1:10" x14ac:dyDescent="0.25">
      <c r="A195" s="1"/>
      <c r="B195" s="240" t="s">
        <v>183</v>
      </c>
      <c r="E195" s="239"/>
      <c r="F195" s="239">
        <f>+F207</f>
        <v>0</v>
      </c>
      <c r="G195" s="239">
        <f>+G207</f>
        <v>0</v>
      </c>
      <c r="H195" s="239">
        <f>+H207</f>
        <v>0</v>
      </c>
      <c r="I195" s="239">
        <f>+I207</f>
        <v>0</v>
      </c>
      <c r="J195" s="239">
        <f>+J207</f>
        <v>0</v>
      </c>
    </row>
    <row r="196" spans="1:10" x14ac:dyDescent="0.25">
      <c r="A196" s="1"/>
      <c r="B196" s="238" t="s">
        <v>184</v>
      </c>
      <c r="F196" s="189">
        <v>-0.81799999999999995</v>
      </c>
      <c r="G196" s="167">
        <f t="shared" ref="G196:J196" si="79">+G183/G201</f>
        <v>0</v>
      </c>
      <c r="H196" s="167">
        <f t="shared" si="79"/>
        <v>0</v>
      </c>
      <c r="I196" s="167">
        <f t="shared" si="79"/>
        <v>0</v>
      </c>
      <c r="J196" s="167">
        <f t="shared" si="79"/>
        <v>0</v>
      </c>
    </row>
    <row r="197" spans="1:10" x14ac:dyDescent="0.25">
      <c r="A197" s="1"/>
      <c r="B197" s="220" t="s">
        <v>173</v>
      </c>
      <c r="C197" s="242"/>
      <c r="D197" s="241"/>
      <c r="E197" s="106">
        <v>64.585999999999999</v>
      </c>
      <c r="F197" s="211">
        <f t="shared" ref="F197:J197" ca="1" si="80">SUM(F193:F196)</f>
        <v>63.988401715664025</v>
      </c>
      <c r="G197" s="241">
        <f t="shared" ca="1" si="80"/>
        <v>64.114792294555016</v>
      </c>
      <c r="H197" s="241">
        <f t="shared" ca="1" si="80"/>
        <v>64.230840721385135</v>
      </c>
      <c r="I197" s="241">
        <f t="shared" ca="1" si="80"/>
        <v>64.337894333407789</v>
      </c>
      <c r="J197" s="241">
        <f t="shared" ca="1" si="80"/>
        <v>64.437158843995775</v>
      </c>
    </row>
    <row r="198" spans="1:10" x14ac:dyDescent="0.25">
      <c r="A198" s="1"/>
      <c r="B198" s="75"/>
      <c r="C198" s="226"/>
      <c r="D198" s="211"/>
      <c r="E198" s="184"/>
      <c r="F198" s="211"/>
      <c r="G198" s="211"/>
      <c r="H198" s="211"/>
      <c r="I198" s="211"/>
      <c r="J198" s="211"/>
    </row>
    <row r="199" spans="1:10" x14ac:dyDescent="0.25">
      <c r="A199" s="1"/>
      <c r="B199" s="100" t="s">
        <v>185</v>
      </c>
      <c r="C199" s="244">
        <f>+C31</f>
        <v>0.45211036447527364</v>
      </c>
      <c r="D199" s="244">
        <f>+D31</f>
        <v>0.21366859690954665</v>
      </c>
      <c r="E199" s="244">
        <f>+E31</f>
        <v>0.19044374941937775</v>
      </c>
      <c r="F199" s="259">
        <v>0.1</v>
      </c>
      <c r="G199" s="259">
        <v>0.17</v>
      </c>
      <c r="H199" s="244">
        <f>+G199*(1+H200)</f>
        <v>0.18411</v>
      </c>
      <c r="I199" s="244">
        <f t="shared" ref="I199:J199" si="81">+H199*(1+I200)</f>
        <v>0.19939113</v>
      </c>
      <c r="J199" s="244">
        <f t="shared" si="81"/>
        <v>0.21594059379</v>
      </c>
    </row>
    <row r="200" spans="1:10" x14ac:dyDescent="0.25">
      <c r="A200" s="1"/>
      <c r="B200" s="100" t="s">
        <v>186</v>
      </c>
      <c r="C200" s="184"/>
      <c r="D200" s="194">
        <f t="shared" ref="D200" si="82">+(D199-C199)/C199</f>
        <v>-0.52739726027397371</v>
      </c>
      <c r="E200" s="194">
        <f>+(E199-D199)/D199</f>
        <v>-0.10869565217391672</v>
      </c>
      <c r="F200" s="194">
        <f t="shared" ref="F200:G200" si="83">+(F199-E199)/E199</f>
        <v>-0.47491056910568807</v>
      </c>
      <c r="G200" s="194">
        <f t="shared" si="83"/>
        <v>0.70000000000000007</v>
      </c>
      <c r="H200" s="97">
        <v>8.3000000000000004E-2</v>
      </c>
      <c r="I200" s="97">
        <v>8.3000000000000004E-2</v>
      </c>
      <c r="J200" s="97">
        <v>8.3000000000000004E-2</v>
      </c>
    </row>
    <row r="201" spans="1:10" x14ac:dyDescent="0.25">
      <c r="A201" s="1"/>
      <c r="B201" s="260" t="s">
        <v>187</v>
      </c>
      <c r="C201" s="244"/>
      <c r="D201" s="131"/>
      <c r="E201" s="261">
        <v>6.5</v>
      </c>
      <c r="F201" s="244">
        <f>+E201*(1+F200)</f>
        <v>3.4130813008130274</v>
      </c>
      <c r="G201" s="244">
        <f t="shared" ref="G201:J201" si="84">+F201*(1+G200)</f>
        <v>5.8022382113821473</v>
      </c>
      <c r="H201" s="244">
        <f t="shared" si="84"/>
        <v>6.2838239829268652</v>
      </c>
      <c r="I201" s="244">
        <f t="shared" si="84"/>
        <v>6.8053813735097943</v>
      </c>
      <c r="J201" s="244">
        <f t="shared" si="84"/>
        <v>7.3702280275111072</v>
      </c>
    </row>
    <row r="202" spans="1:10" x14ac:dyDescent="0.25">
      <c r="A202" s="1"/>
      <c r="B202" s="260"/>
      <c r="C202" s="244"/>
      <c r="D202" s="131"/>
      <c r="E202" s="261"/>
      <c r="F202" s="244"/>
      <c r="G202" s="244"/>
      <c r="H202" s="244"/>
      <c r="I202" s="244"/>
      <c r="J202" s="244"/>
    </row>
    <row r="203" spans="1:10" ht="15.75" x14ac:dyDescent="0.25">
      <c r="A203" s="1"/>
      <c r="B203" s="233" t="s">
        <v>188</v>
      </c>
      <c r="C203" s="257"/>
      <c r="D203" s="257"/>
      <c r="E203" s="257"/>
      <c r="F203" s="257"/>
      <c r="G203" s="257"/>
      <c r="H203" s="257"/>
      <c r="I203" s="257"/>
      <c r="J203" s="257"/>
    </row>
    <row r="204" spans="1:10" x14ac:dyDescent="0.25">
      <c r="A204" s="1"/>
      <c r="B204" s="260" t="s">
        <v>170</v>
      </c>
      <c r="C204" s="244"/>
      <c r="D204" s="131"/>
      <c r="E204" s="108">
        <v>0</v>
      </c>
      <c r="F204" s="239">
        <f>+E208</f>
        <v>0</v>
      </c>
      <c r="G204" s="239">
        <f t="shared" ref="G204:J204" si="85">+F208</f>
        <v>0</v>
      </c>
      <c r="H204" s="239">
        <f t="shared" si="85"/>
        <v>0</v>
      </c>
      <c r="I204" s="239">
        <f t="shared" si="85"/>
        <v>0</v>
      </c>
      <c r="J204" s="239">
        <f t="shared" si="85"/>
        <v>0</v>
      </c>
    </row>
    <row r="205" spans="1:10" x14ac:dyDescent="0.25">
      <c r="A205" s="1"/>
      <c r="B205" s="238" t="s">
        <v>184</v>
      </c>
      <c r="C205" s="244"/>
      <c r="D205" s="131"/>
      <c r="E205" s="108">
        <v>0</v>
      </c>
      <c r="F205" s="239">
        <f>+F196</f>
        <v>-0.81799999999999995</v>
      </c>
      <c r="G205" s="239">
        <f t="shared" ref="G205:J205" si="86">+G196</f>
        <v>0</v>
      </c>
      <c r="H205" s="239">
        <f t="shared" si="86"/>
        <v>0</v>
      </c>
      <c r="I205" s="239">
        <f t="shared" si="86"/>
        <v>0</v>
      </c>
      <c r="J205" s="239">
        <f t="shared" si="86"/>
        <v>0</v>
      </c>
    </row>
    <row r="206" spans="1:10" x14ac:dyDescent="0.25">
      <c r="A206" s="1"/>
      <c r="B206" s="238" t="s">
        <v>189</v>
      </c>
      <c r="C206" s="244"/>
      <c r="D206" s="131"/>
      <c r="E206" s="108">
        <v>0</v>
      </c>
      <c r="F206" s="239">
        <f>+F205*F189*-1</f>
        <v>0.81799999999999995</v>
      </c>
      <c r="G206" s="239">
        <f t="shared" ref="G206:J206" si="87">+G205*G189*-1</f>
        <v>0</v>
      </c>
      <c r="H206" s="239">
        <f t="shared" si="87"/>
        <v>0</v>
      </c>
      <c r="I206" s="239">
        <f t="shared" si="87"/>
        <v>0</v>
      </c>
      <c r="J206" s="239">
        <f t="shared" si="87"/>
        <v>0</v>
      </c>
    </row>
    <row r="207" spans="1:10" x14ac:dyDescent="0.25">
      <c r="A207" s="1"/>
      <c r="B207" s="240" t="s">
        <v>183</v>
      </c>
      <c r="C207" s="244"/>
      <c r="D207" s="131"/>
      <c r="E207" s="108">
        <v>0</v>
      </c>
      <c r="F207" s="131">
        <f>+F190*F204*-1</f>
        <v>0</v>
      </c>
      <c r="G207" s="131">
        <f t="shared" ref="G207:J207" si="88">+G190*G204*-1</f>
        <v>0</v>
      </c>
      <c r="H207" s="131">
        <f t="shared" si="88"/>
        <v>0</v>
      </c>
      <c r="I207" s="131">
        <f t="shared" si="88"/>
        <v>0</v>
      </c>
      <c r="J207" s="131">
        <f t="shared" si="88"/>
        <v>0</v>
      </c>
    </row>
    <row r="208" spans="1:10" x14ac:dyDescent="0.25">
      <c r="A208" s="1"/>
      <c r="B208" s="262" t="s">
        <v>190</v>
      </c>
      <c r="C208" s="263"/>
      <c r="D208" s="264"/>
      <c r="E208" s="106">
        <v>0</v>
      </c>
      <c r="F208" s="265">
        <f t="shared" ref="F208:J208" si="89">+SUM(F204:F207)</f>
        <v>0</v>
      </c>
      <c r="G208" s="265">
        <f t="shared" si="89"/>
        <v>0</v>
      </c>
      <c r="H208" s="265">
        <f t="shared" si="89"/>
        <v>0</v>
      </c>
      <c r="I208" s="265">
        <f t="shared" si="89"/>
        <v>0</v>
      </c>
      <c r="J208" s="265">
        <f t="shared" si="89"/>
        <v>0</v>
      </c>
    </row>
    <row r="209" spans="1:14" x14ac:dyDescent="0.25">
      <c r="A209" s="1"/>
      <c r="B209" s="75"/>
      <c r="C209" s="213"/>
      <c r="D209" s="213"/>
      <c r="E209" s="213"/>
      <c r="F209" s="229"/>
      <c r="G209" s="229"/>
      <c r="H209" s="229"/>
      <c r="I209" s="229"/>
      <c r="J209" s="229"/>
    </row>
    <row r="210" spans="1:14" ht="19.5" thickBot="1" x14ac:dyDescent="0.35">
      <c r="A210" s="7" t="s">
        <v>1</v>
      </c>
      <c r="B210" s="67" t="s">
        <v>191</v>
      </c>
      <c r="C210" s="67"/>
      <c r="D210" s="67"/>
      <c r="E210" s="67"/>
      <c r="F210" s="67"/>
      <c r="G210" s="67"/>
      <c r="H210" s="67"/>
      <c r="I210" s="67"/>
      <c r="J210" s="67"/>
      <c r="K210" s="142"/>
      <c r="L210" s="142"/>
      <c r="M210" s="142"/>
      <c r="N210" s="142"/>
    </row>
    <row r="211" spans="1:14" x14ac:dyDescent="0.25">
      <c r="A211" s="1"/>
    </row>
    <row r="212" spans="1:14" x14ac:dyDescent="0.25">
      <c r="A212" s="1"/>
      <c r="B212" s="221" t="s">
        <v>192</v>
      </c>
    </row>
    <row r="213" spans="1:14" x14ac:dyDescent="0.25">
      <c r="A213" s="1"/>
      <c r="B213" s="221"/>
    </row>
    <row r="214" spans="1:14" x14ac:dyDescent="0.25">
      <c r="A214" s="1"/>
      <c r="D214" s="266">
        <f>+F8</f>
        <v>2016</v>
      </c>
      <c r="E214" s="267" t="s">
        <v>193</v>
      </c>
      <c r="F214" s="268"/>
      <c r="G214" s="268"/>
      <c r="H214" s="268"/>
    </row>
    <row r="215" spans="1:14" x14ac:dyDescent="0.25">
      <c r="A215" s="1"/>
      <c r="C215" s="269">
        <f ca="1">+F31</f>
        <v>8.0767064816177611E-2</v>
      </c>
      <c r="D215" s="270">
        <v>0.4</v>
      </c>
      <c r="E215" s="270">
        <v>0.41</v>
      </c>
      <c r="F215" s="270">
        <v>0.42</v>
      </c>
      <c r="G215" s="270">
        <v>0.43</v>
      </c>
      <c r="H215" s="270">
        <v>0.44</v>
      </c>
      <c r="I215" s="122"/>
    </row>
    <row r="216" spans="1:14" x14ac:dyDescent="0.25">
      <c r="A216" s="1"/>
      <c r="C216" s="271">
        <v>-5.0000000000000001E-3</v>
      </c>
      <c r="D216" s="269">
        <f t="dataTable" ref="D216:H221" dt2D="1" dtr="1" r1="F34" r2="F33" ca="1"/>
        <v>0.35805162957981057</v>
      </c>
      <c r="E216" s="269">
        <v>0.25515019027577979</v>
      </c>
      <c r="F216" s="269">
        <v>0.15225225790293051</v>
      </c>
      <c r="G216" s="269">
        <v>4.9357832281990068E-2</v>
      </c>
      <c r="H216" s="269">
        <v>-5.3624114778341718E-2</v>
      </c>
    </row>
    <row r="217" spans="1:14" x14ac:dyDescent="0.25">
      <c r="A217" s="1"/>
      <c r="C217" s="271">
        <v>0</v>
      </c>
      <c r="D217" s="269">
        <v>0.35969147190395945</v>
      </c>
      <c r="E217" s="269">
        <v>0.25627377794750089</v>
      </c>
      <c r="F217" s="269">
        <v>0.15285962619764773</v>
      </c>
      <c r="G217" s="269">
        <v>4.9449016472418297E-2</v>
      </c>
      <c r="H217" s="269">
        <v>-5.4049802034869518E-2</v>
      </c>
    </row>
    <row r="218" spans="1:14" x14ac:dyDescent="0.25">
      <c r="A218" s="1"/>
      <c r="B218" s="272">
        <f>+D214</f>
        <v>2016</v>
      </c>
      <c r="C218" s="271">
        <v>5.0000000000000001E-3</v>
      </c>
      <c r="D218" s="269">
        <v>0.36133128704257944</v>
      </c>
      <c r="E218" s="269">
        <v>0.25739734680012755</v>
      </c>
      <c r="F218" s="269">
        <v>0.15346698421564722</v>
      </c>
      <c r="G218" s="269">
        <v>4.9540199104414082E-2</v>
      </c>
      <c r="H218" s="269">
        <v>-5.4475481943186597E-2</v>
      </c>
    </row>
    <row r="219" spans="1:14" x14ac:dyDescent="0.25">
      <c r="A219" s="1"/>
      <c r="B219" s="273" t="s">
        <v>194</v>
      </c>
      <c r="C219" s="271">
        <v>0.01</v>
      </c>
      <c r="D219" s="269">
        <v>0.3629710749963464</v>
      </c>
      <c r="E219" s="269">
        <v>0.25852089683413504</v>
      </c>
      <c r="F219" s="269">
        <v>0.15407433195718842</v>
      </c>
      <c r="G219" s="269">
        <v>4.9631380178016112E-2</v>
      </c>
      <c r="H219" s="269">
        <v>-5.4901154503484477E-2</v>
      </c>
    </row>
    <row r="220" spans="1:14" x14ac:dyDescent="0.25">
      <c r="A220" s="1"/>
      <c r="C220" s="271">
        <v>1.4999999999999999E-2</v>
      </c>
      <c r="D220" s="269">
        <v>0.36461083576593911</v>
      </c>
      <c r="E220" s="269">
        <v>0.25964442804999743</v>
      </c>
      <c r="F220" s="269">
        <v>0.15468166942253464</v>
      </c>
      <c r="G220" s="269">
        <v>4.9722559693265604E-2</v>
      </c>
      <c r="H220" s="269">
        <v>-5.5326819715952158E-2</v>
      </c>
    </row>
    <row r="221" spans="1:14" x14ac:dyDescent="0.25">
      <c r="A221" s="1"/>
      <c r="C221" s="271">
        <v>0.02</v>
      </c>
      <c r="D221" s="269">
        <v>0.36625056935203182</v>
      </c>
      <c r="E221" s="269">
        <v>0.26076794044818613</v>
      </c>
      <c r="F221" s="269">
        <v>0.15528899661194548</v>
      </c>
      <c r="G221" s="269">
        <v>4.9813737650203735E-2</v>
      </c>
      <c r="H221" s="269">
        <v>-5.5752477580778663E-2</v>
      </c>
    </row>
    <row r="222" spans="1:14" x14ac:dyDescent="0.25">
      <c r="A222" s="1"/>
      <c r="D222" s="269"/>
      <c r="E222" s="269"/>
      <c r="F222" s="269"/>
      <c r="G222" s="269"/>
      <c r="H222" s="269"/>
    </row>
    <row r="223" spans="1:14" x14ac:dyDescent="0.25">
      <c r="A223" s="1"/>
      <c r="D223" s="266">
        <f>+B226</f>
        <v>2017</v>
      </c>
      <c r="E223" s="267" t="str">
        <f>+E214</f>
        <v>COGS margin</v>
      </c>
      <c r="F223" s="274"/>
      <c r="G223" s="274"/>
      <c r="H223" s="274"/>
    </row>
    <row r="224" spans="1:14" x14ac:dyDescent="0.25">
      <c r="A224" s="1"/>
      <c r="C224" s="269">
        <f ca="1">G31</f>
        <v>0.34304276965583957</v>
      </c>
      <c r="D224" s="270">
        <v>0.4</v>
      </c>
      <c r="E224" s="270">
        <v>0.41</v>
      </c>
      <c r="F224" s="270">
        <v>0.42</v>
      </c>
      <c r="G224" s="270">
        <v>0.43</v>
      </c>
      <c r="H224" s="270">
        <v>0.44</v>
      </c>
    </row>
    <row r="225" spans="1:8" x14ac:dyDescent="0.25">
      <c r="A225" s="1"/>
      <c r="C225" s="271">
        <v>-5.0000000000000001E-3</v>
      </c>
      <c r="D225" s="269">
        <f t="dataTable" ref="D225:H230" dt2D="1" dtr="1" r1="G34" r2="G33" ca="1"/>
        <v>0.44539621339026575</v>
      </c>
      <c r="E225" s="269">
        <v>0.34148917208369045</v>
      </c>
      <c r="F225" s="269">
        <v>0.23758423396859035</v>
      </c>
      <c r="G225" s="269">
        <v>0.13368139898110976</v>
      </c>
      <c r="H225" s="269">
        <v>2.9780667057395602E-2</v>
      </c>
    </row>
    <row r="226" spans="1:8" x14ac:dyDescent="0.25">
      <c r="A226" s="1"/>
      <c r="B226" s="272">
        <f>+G8</f>
        <v>2017</v>
      </c>
      <c r="C226" s="271">
        <v>0</v>
      </c>
      <c r="D226" s="269">
        <v>0.44747146284157702</v>
      </c>
      <c r="E226" s="269">
        <v>0.34304276965583957</v>
      </c>
      <c r="F226" s="269">
        <v>0.23861620083164906</v>
      </c>
      <c r="G226" s="269">
        <v>0.13419175630418548</v>
      </c>
      <c r="H226" s="269">
        <v>2.9769436008630631E-2</v>
      </c>
    </row>
    <row r="227" spans="1:8" x14ac:dyDescent="0.25">
      <c r="A227" s="1"/>
      <c r="B227" s="273" t="s">
        <v>194</v>
      </c>
      <c r="C227" s="271">
        <v>5.0000000000000001E-3</v>
      </c>
      <c r="D227" s="269">
        <v>0.44954669202881381</v>
      </c>
      <c r="E227" s="269">
        <v>0.34459635189978965</v>
      </c>
      <c r="F227" s="269">
        <v>0.23964815740819415</v>
      </c>
      <c r="G227" s="269">
        <v>0.13470210848822797</v>
      </c>
      <c r="H227" s="269">
        <v>2.9758205074097682E-2</v>
      </c>
    </row>
    <row r="228" spans="1:8" x14ac:dyDescent="0.25">
      <c r="A228" s="1"/>
      <c r="C228" s="271">
        <v>0.01</v>
      </c>
      <c r="D228" s="269">
        <v>0.45162190095226706</v>
      </c>
      <c r="E228" s="269">
        <v>0.34614991881576712</v>
      </c>
      <c r="F228" s="269">
        <v>0.24068010369837575</v>
      </c>
      <c r="G228" s="269">
        <v>0.13521245553331354</v>
      </c>
      <c r="H228" s="269">
        <v>2.9746974253795005E-2</v>
      </c>
    </row>
    <row r="229" spans="1:8" x14ac:dyDescent="0.25">
      <c r="A229" s="1"/>
      <c r="C229" s="271">
        <v>1.4999999999999999E-2</v>
      </c>
      <c r="D229" s="269">
        <v>0.45369708961223731</v>
      </c>
      <c r="E229" s="269">
        <v>0.34770347040399807</v>
      </c>
      <c r="F229" s="269">
        <v>0.24171203970235139</v>
      </c>
      <c r="G229" s="269">
        <v>0.13572279743951859</v>
      </c>
      <c r="H229" s="269">
        <v>2.9735743547720864E-2</v>
      </c>
    </row>
    <row r="230" spans="1:8" x14ac:dyDescent="0.25">
      <c r="A230" s="1"/>
      <c r="C230" s="271">
        <v>0.02</v>
      </c>
      <c r="D230" s="269">
        <v>0.45577225800901838</v>
      </c>
      <c r="E230" s="269">
        <v>0.34925700666471132</v>
      </c>
      <c r="F230" s="269">
        <v>0.24274396542027493</v>
      </c>
      <c r="G230" s="269">
        <v>0.13623313420692323</v>
      </c>
      <c r="H230" s="269">
        <v>2.972451295587351E-2</v>
      </c>
    </row>
    <row r="231" spans="1:8" x14ac:dyDescent="0.25">
      <c r="A231" s="1"/>
    </row>
    <row r="232" spans="1:8" x14ac:dyDescent="0.25">
      <c r="A232" s="1"/>
      <c r="D232" s="266">
        <f>+B235</f>
        <v>2018</v>
      </c>
      <c r="E232" s="267" t="str">
        <f>+E214</f>
        <v>COGS margin</v>
      </c>
      <c r="F232" s="274"/>
      <c r="G232" s="274"/>
      <c r="H232" s="274"/>
    </row>
    <row r="233" spans="1:8" x14ac:dyDescent="0.25">
      <c r="A233" s="1"/>
      <c r="C233" s="269">
        <f ca="1">H31</f>
        <v>0.50562525564162941</v>
      </c>
      <c r="D233" s="270">
        <v>0.4</v>
      </c>
      <c r="E233" s="270">
        <v>0.41</v>
      </c>
      <c r="F233" s="270">
        <v>0.42</v>
      </c>
      <c r="G233" s="270">
        <v>0.43</v>
      </c>
      <c r="H233" s="270">
        <v>0.44</v>
      </c>
    </row>
    <row r="234" spans="1:8" x14ac:dyDescent="0.25">
      <c r="A234" s="1"/>
      <c r="C234" s="271">
        <v>-5.0000000000000001E-3</v>
      </c>
      <c r="D234" s="269">
        <f t="dataTable" ref="D234:H239" dt2D="1" dtr="1" r1="H34" r2="H33" ca="1"/>
        <v>0.5504962098490207</v>
      </c>
      <c r="E234" s="269">
        <v>0.44674889600692386</v>
      </c>
      <c r="F234" s="269">
        <v>0.34300351753083513</v>
      </c>
      <c r="G234" s="269">
        <v>0.23926007436659957</v>
      </c>
      <c r="H234" s="269">
        <v>0.13551856646006449</v>
      </c>
    </row>
    <row r="235" spans="1:8" x14ac:dyDescent="0.25">
      <c r="A235" s="1"/>
      <c r="B235" s="272">
        <f>+H8</f>
        <v>2018</v>
      </c>
      <c r="C235" s="271">
        <v>0</v>
      </c>
      <c r="D235" s="269">
        <v>0.55309099728128219</v>
      </c>
      <c r="E235" s="269">
        <v>0.4488227849994893</v>
      </c>
      <c r="F235" s="269">
        <v>0.34455652756626015</v>
      </c>
      <c r="G235" s="269">
        <v>0.24029222492662297</v>
      </c>
      <c r="H235" s="269">
        <v>0.13602987702560526</v>
      </c>
    </row>
    <row r="236" spans="1:8" x14ac:dyDescent="0.25">
      <c r="A236" s="1"/>
      <c r="B236" s="273" t="s">
        <v>194</v>
      </c>
      <c r="C236" s="271">
        <v>5.0000000000000001E-3</v>
      </c>
      <c r="D236" s="269">
        <v>0.55568576160552319</v>
      </c>
      <c r="E236" s="269">
        <v>0.45089665532868384</v>
      </c>
      <c r="F236" s="269">
        <v>0.34610952348036761</v>
      </c>
      <c r="G236" s="269">
        <v>0.24132436600477056</v>
      </c>
      <c r="H236" s="269">
        <v>0.13654118284609498</v>
      </c>
    </row>
    <row r="237" spans="1:8" x14ac:dyDescent="0.25">
      <c r="A237" s="1"/>
      <c r="C237" s="271">
        <v>0.01</v>
      </c>
      <c r="D237" s="269">
        <v>0.55828050282204822</v>
      </c>
      <c r="E237" s="269">
        <v>0.45297050699476227</v>
      </c>
      <c r="F237" s="269">
        <v>0.34766250527334885</v>
      </c>
      <c r="G237" s="269">
        <v>0.24235649760117439</v>
      </c>
      <c r="H237" s="269">
        <v>0.13705248392159719</v>
      </c>
    </row>
    <row r="238" spans="1:8" x14ac:dyDescent="0.25">
      <c r="A238" s="1"/>
      <c r="C238" s="271">
        <v>1.4999999999999999E-2</v>
      </c>
      <c r="D238" s="269">
        <v>0.56087522093116848</v>
      </c>
      <c r="E238" s="269">
        <v>0.45504433999797367</v>
      </c>
      <c r="F238" s="269">
        <v>0.34921547294539906</v>
      </c>
      <c r="G238" s="269">
        <v>0.2433886197159626</v>
      </c>
      <c r="H238" s="269">
        <v>0.1375637802521818</v>
      </c>
    </row>
    <row r="239" spans="1:8" x14ac:dyDescent="0.25">
      <c r="A239" s="7" t="s">
        <v>1</v>
      </c>
      <c r="C239" s="271">
        <v>0.02</v>
      </c>
      <c r="D239" s="269">
        <v>0.56346991593319029</v>
      </c>
      <c r="E239" s="269">
        <v>0.45711815433857278</v>
      </c>
      <c r="F239" s="269">
        <v>0.35076842649671081</v>
      </c>
      <c r="G239" s="269">
        <v>0.24442073234926823</v>
      </c>
      <c r="H239" s="269">
        <v>0.13807507183790974</v>
      </c>
    </row>
  </sheetData>
  <sheetProtection sheet="1" objects="1" scenarios="1"/>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000"/>
  </sheetPr>
  <dimension ref="A1:Y192"/>
  <sheetViews>
    <sheetView tabSelected="1" zoomScale="89" zoomScaleNormal="89" workbookViewId="0">
      <selection activeCell="C17" sqref="C17"/>
    </sheetView>
  </sheetViews>
  <sheetFormatPr defaultColWidth="9.140625" defaultRowHeight="15" x14ac:dyDescent="0.25"/>
  <cols>
    <col min="1" max="1" width="1.7109375" style="275" customWidth="1"/>
    <col min="2" max="2" width="52.5703125" customWidth="1"/>
    <col min="3" max="3" width="12.28515625" customWidth="1"/>
    <col min="4" max="4" width="12" customWidth="1"/>
    <col min="5" max="5" width="12.5703125" customWidth="1"/>
    <col min="6" max="6" width="12.140625" customWidth="1"/>
    <col min="7" max="9" width="10.7109375" customWidth="1"/>
    <col min="10" max="10" width="11.42578125" customWidth="1"/>
    <col min="11" max="11" width="10.7109375" customWidth="1"/>
    <col min="12" max="12" width="2" customWidth="1"/>
    <col min="13" max="13" width="18.7109375" customWidth="1"/>
    <col min="19" max="19" width="10.7109375" customWidth="1"/>
  </cols>
  <sheetData>
    <row r="1" spans="1:18" ht="23.25" x14ac:dyDescent="0.35">
      <c r="A1" s="1"/>
      <c r="B1" s="2" t="s">
        <v>195</v>
      </c>
      <c r="C1" s="61"/>
      <c r="D1" s="76"/>
      <c r="E1" s="76"/>
      <c r="F1" s="76"/>
      <c r="G1" s="76"/>
      <c r="H1" s="76"/>
      <c r="I1" s="76"/>
      <c r="J1" s="76"/>
      <c r="K1" s="76"/>
      <c r="L1" s="76"/>
      <c r="M1" s="75"/>
      <c r="N1" s="75"/>
    </row>
    <row r="2" spans="1:18" s="63" customFormat="1" ht="15.75" x14ac:dyDescent="0.25">
      <c r="A2" s="1"/>
      <c r="B2" s="62" t="str">
        <f>'Cover Sheet'!C5</f>
        <v>Reitmans (CANADA) Limited</v>
      </c>
      <c r="D2" s="64"/>
      <c r="E2" s="64"/>
      <c r="F2" s="64"/>
      <c r="G2" s="64"/>
      <c r="H2" s="64"/>
      <c r="I2" s="64"/>
      <c r="J2" s="64"/>
      <c r="K2" s="64"/>
      <c r="L2" s="64"/>
      <c r="M2" s="64"/>
    </row>
    <row r="3" spans="1:18" s="63" customFormat="1" ht="15.75" x14ac:dyDescent="0.25">
      <c r="A3" s="1"/>
      <c r="B3" s="62" t="str">
        <f>Assumptions!B3</f>
        <v>Best Case</v>
      </c>
      <c r="D3" s="64"/>
      <c r="E3" s="64"/>
      <c r="F3" s="64"/>
      <c r="G3" s="64"/>
      <c r="H3" s="64"/>
      <c r="I3" s="64"/>
      <c r="J3" s="64"/>
      <c r="K3" s="64"/>
      <c r="L3" s="64"/>
      <c r="M3" s="64"/>
    </row>
    <row r="4" spans="1:18" s="63" customFormat="1" ht="15.75" x14ac:dyDescent="0.25">
      <c r="A4" s="1"/>
      <c r="B4" s="64"/>
      <c r="C4" s="64"/>
      <c r="D4" s="64"/>
      <c r="E4" s="64"/>
      <c r="F4" s="64"/>
      <c r="G4" s="64"/>
      <c r="H4" s="64"/>
      <c r="I4" s="64"/>
      <c r="J4" s="64"/>
      <c r="K4" s="64"/>
      <c r="L4" s="64"/>
      <c r="M4" s="64"/>
      <c r="N4" s="64"/>
      <c r="O4" s="64"/>
      <c r="P4" s="64"/>
      <c r="Q4" s="64"/>
      <c r="R4" s="64"/>
    </row>
    <row r="5" spans="1:18" s="63" customFormat="1" ht="19.5" thickBot="1" x14ac:dyDescent="0.35">
      <c r="A5" s="7" t="s">
        <v>1</v>
      </c>
      <c r="B5" s="67" t="s">
        <v>196</v>
      </c>
      <c r="C5" s="67"/>
      <c r="D5" s="67"/>
      <c r="E5" s="67"/>
      <c r="F5" s="67"/>
      <c r="G5" s="67"/>
      <c r="H5" s="67"/>
      <c r="I5" s="67"/>
      <c r="J5" s="67"/>
      <c r="K5" s="67"/>
      <c r="L5" s="64"/>
      <c r="M5" s="276"/>
      <c r="N5" s="64"/>
      <c r="O5" s="64"/>
      <c r="P5" s="64"/>
      <c r="Q5" s="64"/>
      <c r="R5" s="64"/>
    </row>
    <row r="6" spans="1:18" s="63" customFormat="1" ht="15.75" x14ac:dyDescent="0.25">
      <c r="A6" s="1"/>
      <c r="B6" s="64"/>
      <c r="C6" s="64"/>
      <c r="D6" s="64"/>
      <c r="E6" s="64"/>
      <c r="F6" s="64"/>
      <c r="G6" s="64"/>
      <c r="H6" s="64"/>
      <c r="I6" s="64"/>
      <c r="J6" s="64"/>
      <c r="K6" s="64"/>
      <c r="L6" s="64"/>
      <c r="M6" s="64"/>
      <c r="N6" s="64"/>
      <c r="O6" s="64"/>
      <c r="P6" s="64"/>
      <c r="Q6" s="64"/>
      <c r="R6" s="64"/>
    </row>
    <row r="7" spans="1:18" s="63" customFormat="1" ht="15.75" x14ac:dyDescent="0.25">
      <c r="A7" s="1"/>
      <c r="B7" s="277" t="s">
        <v>197</v>
      </c>
      <c r="C7" s="278"/>
      <c r="D7" s="64"/>
      <c r="E7" s="64"/>
      <c r="F7" s="64"/>
      <c r="G7" s="64"/>
      <c r="H7" s="64"/>
      <c r="I7" s="64"/>
      <c r="J7" s="64"/>
      <c r="K7" s="64"/>
      <c r="L7" s="64"/>
      <c r="M7" s="276"/>
      <c r="N7" s="64"/>
      <c r="O7" s="64"/>
      <c r="P7" s="64"/>
      <c r="Q7" s="64"/>
      <c r="R7" s="64"/>
    </row>
    <row r="8" spans="1:18" s="63" customFormat="1" ht="15.75" x14ac:dyDescent="0.25">
      <c r="A8" s="7"/>
      <c r="B8" s="207" t="s">
        <v>198</v>
      </c>
      <c r="C8" s="279">
        <f>+'Cover Sheet'!C8</f>
        <v>42035</v>
      </c>
      <c r="D8" s="64"/>
      <c r="I8" s="64"/>
      <c r="J8" s="64"/>
      <c r="K8" s="64"/>
      <c r="L8" s="64"/>
      <c r="N8" s="64"/>
      <c r="O8" s="64"/>
      <c r="P8" s="64"/>
      <c r="Q8" s="64"/>
      <c r="R8" s="64"/>
    </row>
    <row r="9" spans="1:18" s="63" customFormat="1" ht="15.75" x14ac:dyDescent="0.25">
      <c r="A9" s="1"/>
      <c r="B9" s="100" t="s">
        <v>199</v>
      </c>
      <c r="C9" s="279">
        <f>+'Cover Sheet'!C10</f>
        <v>42345</v>
      </c>
      <c r="D9" s="64"/>
      <c r="I9" s="64"/>
      <c r="J9" s="64"/>
      <c r="K9" s="64"/>
      <c r="L9" s="64"/>
      <c r="N9" s="64"/>
      <c r="O9" s="64"/>
      <c r="P9" s="64"/>
      <c r="Q9" s="64"/>
      <c r="R9" s="64"/>
    </row>
    <row r="10" spans="1:18" s="63" customFormat="1" ht="15.75" x14ac:dyDescent="0.25">
      <c r="A10" s="1"/>
      <c r="B10" s="100" t="s">
        <v>200</v>
      </c>
      <c r="C10" s="280">
        <f>+'Cover Sheet'!C11</f>
        <v>3.88</v>
      </c>
      <c r="D10" s="64"/>
      <c r="I10" s="64"/>
      <c r="J10" s="64"/>
      <c r="K10" s="64"/>
      <c r="L10" s="64"/>
      <c r="N10" s="64"/>
      <c r="O10" s="64"/>
      <c r="P10" s="64"/>
      <c r="Q10" s="64"/>
      <c r="R10" s="64"/>
    </row>
    <row r="11" spans="1:18" s="63" customFormat="1" ht="15.75" x14ac:dyDescent="0.25">
      <c r="A11" s="1"/>
      <c r="B11" s="260" t="s">
        <v>201</v>
      </c>
      <c r="C11" s="281">
        <f>1-(C9-C8)/365</f>
        <v>0.15068493150684936</v>
      </c>
      <c r="D11" s="64"/>
      <c r="I11" s="64"/>
      <c r="J11" s="64"/>
      <c r="K11" s="64"/>
      <c r="L11" s="64"/>
      <c r="N11" s="64"/>
      <c r="O11" s="64"/>
      <c r="P11" s="64"/>
      <c r="Q11" s="64"/>
      <c r="R11" s="64"/>
    </row>
    <row r="12" spans="1:18" s="63" customFormat="1" ht="15.75" x14ac:dyDescent="0.25">
      <c r="A12" s="1"/>
      <c r="B12" s="100"/>
      <c r="C12" s="282"/>
      <c r="D12" s="64"/>
      <c r="I12" s="64"/>
      <c r="J12" s="64"/>
      <c r="K12" s="64"/>
      <c r="L12" s="64"/>
      <c r="N12" s="64"/>
      <c r="O12" s="64"/>
      <c r="P12" s="64"/>
      <c r="Q12" s="64"/>
      <c r="R12" s="64"/>
    </row>
    <row r="13" spans="1:18" s="63" customFormat="1" ht="15.75" x14ac:dyDescent="0.25">
      <c r="A13" s="1"/>
      <c r="B13" s="125" t="s">
        <v>202</v>
      </c>
      <c r="C13" s="282"/>
      <c r="D13" s="64"/>
      <c r="I13" s="64"/>
      <c r="J13" s="64"/>
      <c r="K13" s="64"/>
      <c r="L13" s="64"/>
      <c r="N13" s="64"/>
      <c r="O13" s="64"/>
      <c r="P13" s="64"/>
      <c r="Q13" s="64"/>
      <c r="R13" s="64"/>
    </row>
    <row r="14" spans="1:18" s="63" customFormat="1" ht="15.75" x14ac:dyDescent="0.25">
      <c r="A14" s="1"/>
      <c r="B14" s="40" t="s">
        <v>203</v>
      </c>
      <c r="C14" s="283">
        <f ca="1">+FSM!J26</f>
        <v>123.64861788331017</v>
      </c>
      <c r="D14" s="64"/>
      <c r="I14" s="64"/>
      <c r="J14" s="64"/>
      <c r="K14" s="64"/>
      <c r="L14" s="64"/>
      <c r="M14" s="40"/>
      <c r="N14" s="64"/>
      <c r="O14" s="64"/>
      <c r="P14" s="64"/>
      <c r="Q14" s="64"/>
      <c r="R14" s="64"/>
    </row>
    <row r="15" spans="1:18" s="63" customFormat="1" ht="15.75" x14ac:dyDescent="0.25">
      <c r="A15" s="1"/>
      <c r="B15" s="40" t="s">
        <v>204</v>
      </c>
      <c r="C15" s="284">
        <f>+Assumptions!G41</f>
        <v>7</v>
      </c>
      <c r="D15" s="64"/>
      <c r="I15" s="64"/>
      <c r="J15" s="64"/>
      <c r="K15" s="64"/>
      <c r="L15" s="64"/>
      <c r="M15" s="40"/>
      <c r="N15" s="64"/>
      <c r="O15" s="64"/>
      <c r="P15" s="64"/>
      <c r="Q15" s="64"/>
      <c r="R15" s="64"/>
    </row>
    <row r="16" spans="1:18" s="63" customFormat="1" ht="15.75" x14ac:dyDescent="0.25">
      <c r="A16" s="1"/>
      <c r="B16" s="40" t="s">
        <v>205</v>
      </c>
      <c r="C16" s="285">
        <v>0.02</v>
      </c>
      <c r="D16" s="64"/>
      <c r="I16" s="64"/>
      <c r="J16" s="64"/>
      <c r="K16" s="64"/>
      <c r="L16" s="64"/>
      <c r="M16" s="40"/>
      <c r="N16" s="64"/>
      <c r="O16" s="64"/>
      <c r="P16" s="64"/>
      <c r="Q16" s="64"/>
      <c r="R16" s="64"/>
    </row>
    <row r="17" spans="1:25" s="63" customFormat="1" ht="15.75" x14ac:dyDescent="0.25">
      <c r="A17" s="1"/>
      <c r="B17" s="40"/>
      <c r="C17" s="286"/>
      <c r="D17" s="64"/>
      <c r="E17" s="64"/>
      <c r="F17" s="64"/>
      <c r="G17" s="64"/>
      <c r="H17" s="64"/>
      <c r="I17" s="64"/>
      <c r="J17" s="64"/>
      <c r="K17" s="64"/>
      <c r="L17" s="64"/>
      <c r="M17" s="64"/>
      <c r="N17" s="64"/>
      <c r="O17" s="64"/>
      <c r="P17" s="64"/>
      <c r="Q17" s="64"/>
      <c r="R17" s="64"/>
    </row>
    <row r="18" spans="1:25" s="63" customFormat="1" ht="15.75" x14ac:dyDescent="0.25">
      <c r="A18" s="1"/>
      <c r="B18" s="125" t="s">
        <v>206</v>
      </c>
      <c r="C18" s="100"/>
      <c r="D18" s="64"/>
      <c r="E18" s="64"/>
      <c r="F18" s="64"/>
      <c r="G18" s="64"/>
      <c r="H18" s="64"/>
      <c r="I18" s="64"/>
      <c r="J18" s="64"/>
      <c r="K18" s="64"/>
      <c r="L18" s="64"/>
      <c r="M18" s="64"/>
      <c r="N18" s="64"/>
      <c r="O18" s="64"/>
      <c r="P18" s="64"/>
      <c r="Q18" s="64"/>
      <c r="R18" s="64"/>
    </row>
    <row r="19" spans="1:25" s="63" customFormat="1" ht="15.75" x14ac:dyDescent="0.25">
      <c r="A19" s="1"/>
      <c r="B19" s="287" t="s">
        <v>207</v>
      </c>
      <c r="C19" s="285">
        <v>6.4000000000000001E-2</v>
      </c>
      <c r="D19" s="64"/>
      <c r="E19" s="64"/>
      <c r="F19" s="64"/>
      <c r="G19" s="64"/>
      <c r="H19" s="64"/>
      <c r="I19" s="64"/>
      <c r="J19" s="64"/>
      <c r="K19" s="64"/>
      <c r="L19" s="64"/>
      <c r="M19" s="100"/>
      <c r="N19" s="64"/>
      <c r="O19" s="64"/>
      <c r="P19" s="64"/>
      <c r="Q19" s="64"/>
      <c r="R19" s="64"/>
    </row>
    <row r="20" spans="1:25" s="63" customFormat="1" ht="15.75" x14ac:dyDescent="0.25">
      <c r="A20" s="1"/>
      <c r="B20" s="100" t="s">
        <v>42</v>
      </c>
      <c r="C20" s="285">
        <v>0.29299999999999998</v>
      </c>
      <c r="D20" s="64"/>
      <c r="E20" s="64"/>
      <c r="F20" s="64"/>
      <c r="G20" s="64"/>
      <c r="H20" s="64"/>
      <c r="I20" s="64"/>
      <c r="J20" s="64"/>
      <c r="K20" s="64"/>
      <c r="L20" s="64"/>
      <c r="M20" s="100"/>
      <c r="N20" s="64"/>
      <c r="O20" s="64"/>
      <c r="P20" s="64"/>
      <c r="Q20" s="64"/>
      <c r="R20" s="64"/>
    </row>
    <row r="21" spans="1:25" s="63" customFormat="1" ht="15.75" x14ac:dyDescent="0.25">
      <c r="A21" s="1"/>
      <c r="B21" s="260" t="s">
        <v>208</v>
      </c>
      <c r="C21" s="285">
        <v>6.0000000000000001E-3</v>
      </c>
      <c r="D21" s="64"/>
      <c r="E21" s="64"/>
      <c r="F21" s="64"/>
      <c r="G21" s="64"/>
      <c r="H21" s="64"/>
      <c r="I21" s="64"/>
      <c r="J21" s="64"/>
      <c r="K21" s="64"/>
      <c r="L21" s="64"/>
      <c r="M21" s="100"/>
      <c r="N21" s="64"/>
      <c r="O21" s="64"/>
      <c r="P21" s="64"/>
      <c r="Q21" s="64"/>
      <c r="R21" s="64"/>
    </row>
    <row r="22" spans="1:25" s="63" customFormat="1" ht="15.75" x14ac:dyDescent="0.25">
      <c r="A22" s="1"/>
      <c r="B22" s="260"/>
      <c r="C22" s="260"/>
      <c r="D22" s="64"/>
      <c r="E22" s="64"/>
      <c r="F22" s="64"/>
      <c r="G22" s="64"/>
      <c r="H22" s="64"/>
      <c r="I22" s="288"/>
      <c r="J22" s="64"/>
      <c r="K22" s="64"/>
      <c r="L22" s="64"/>
      <c r="M22" s="100"/>
      <c r="N22" s="64"/>
      <c r="O22" s="64"/>
      <c r="P22" s="64"/>
      <c r="Q22" s="64"/>
      <c r="R22" s="64"/>
    </row>
    <row r="23" spans="1:25" s="63" customFormat="1" ht="15.75" x14ac:dyDescent="0.25">
      <c r="A23" s="1"/>
      <c r="B23" s="40" t="s">
        <v>209</v>
      </c>
      <c r="C23" s="285">
        <v>2.1100000000000001E-2</v>
      </c>
      <c r="D23" s="289" t="s">
        <v>210</v>
      </c>
      <c r="E23" s="289" t="s">
        <v>211</v>
      </c>
      <c r="F23" s="64"/>
      <c r="G23" s="64"/>
      <c r="H23" s="64"/>
      <c r="I23" s="64"/>
      <c r="J23" s="64"/>
      <c r="K23" s="64"/>
      <c r="L23" s="64"/>
      <c r="M23" s="100"/>
      <c r="N23" s="64"/>
      <c r="O23" s="64"/>
      <c r="P23" s="64"/>
      <c r="Q23" s="64"/>
      <c r="R23" s="64"/>
    </row>
    <row r="24" spans="1:25" s="63" customFormat="1" ht="15.75" x14ac:dyDescent="0.25">
      <c r="A24" s="1"/>
      <c r="B24" s="40" t="s">
        <v>212</v>
      </c>
      <c r="C24" s="290">
        <f>+IF(E24="Observed  β",D24,C144)</f>
        <v>0.68</v>
      </c>
      <c r="D24" s="291">
        <v>0.68</v>
      </c>
      <c r="E24" s="292" t="s">
        <v>213</v>
      </c>
      <c r="F24" s="64"/>
      <c r="G24" s="64"/>
      <c r="H24" s="64"/>
      <c r="I24" s="64"/>
      <c r="J24" s="64"/>
      <c r="K24" s="64"/>
      <c r="L24" s="64"/>
      <c r="M24" s="100"/>
      <c r="N24" s="64"/>
      <c r="O24" s="64"/>
      <c r="P24" s="64"/>
      <c r="Q24" s="64"/>
      <c r="R24" s="64"/>
    </row>
    <row r="25" spans="1:25" s="63" customFormat="1" ht="15.75" x14ac:dyDescent="0.25">
      <c r="A25" s="1"/>
      <c r="B25" s="100" t="s">
        <v>214</v>
      </c>
      <c r="C25" s="285">
        <v>0.06</v>
      </c>
      <c r="D25" s="64"/>
      <c r="E25" s="65"/>
      <c r="F25" s="64"/>
      <c r="G25" s="64"/>
      <c r="H25" s="64"/>
      <c r="I25" s="64"/>
      <c r="J25" s="64"/>
      <c r="K25" s="64"/>
      <c r="L25" s="64"/>
      <c r="M25" s="100"/>
      <c r="N25" s="64"/>
      <c r="O25" s="64"/>
      <c r="P25" s="64"/>
      <c r="Q25" s="64"/>
      <c r="R25" s="64"/>
    </row>
    <row r="26" spans="1:25" s="63" customFormat="1" ht="15.75" x14ac:dyDescent="0.25">
      <c r="A26" s="1"/>
      <c r="B26" s="293" t="s">
        <v>215</v>
      </c>
      <c r="C26" s="285">
        <v>0.09</v>
      </c>
      <c r="D26" s="64"/>
      <c r="E26" s="294"/>
      <c r="F26" s="64"/>
      <c r="G26" s="64"/>
      <c r="H26" s="64"/>
      <c r="I26" s="64"/>
      <c r="J26" s="64"/>
      <c r="K26" s="64"/>
      <c r="L26" s="64"/>
      <c r="M26" s="100"/>
      <c r="N26" s="64"/>
      <c r="O26" s="64"/>
      <c r="P26" s="64"/>
      <c r="Q26" s="64"/>
      <c r="R26" s="64"/>
    </row>
    <row r="27" spans="1:25" s="63" customFormat="1" ht="15.75" x14ac:dyDescent="0.25">
      <c r="A27" s="1"/>
      <c r="B27" s="260" t="s">
        <v>216</v>
      </c>
      <c r="C27" s="281">
        <f>+C23+C24*C25</f>
        <v>6.1900000000000004E-2</v>
      </c>
      <c r="D27" s="64"/>
      <c r="E27" s="100" t="s">
        <v>217</v>
      </c>
      <c r="F27" s="64"/>
      <c r="G27" s="64"/>
      <c r="H27" s="64"/>
      <c r="I27" s="64"/>
      <c r="J27" s="64"/>
      <c r="K27" s="64"/>
      <c r="L27" s="64"/>
      <c r="M27" s="100"/>
      <c r="N27" s="64"/>
      <c r="O27" s="64"/>
      <c r="P27" s="64"/>
      <c r="Q27" s="64"/>
      <c r="R27" s="64"/>
    </row>
    <row r="28" spans="1:25" s="63" customFormat="1" ht="15.75" x14ac:dyDescent="0.25">
      <c r="A28" s="1"/>
      <c r="B28" s="260" t="s">
        <v>218</v>
      </c>
      <c r="C28" s="281">
        <f>1-C21</f>
        <v>0.99399999999999999</v>
      </c>
      <c r="D28" s="64"/>
      <c r="F28" s="64"/>
      <c r="G28" s="64"/>
      <c r="H28" s="64"/>
      <c r="I28" s="64"/>
      <c r="J28" s="64"/>
      <c r="K28" s="64"/>
      <c r="L28" s="64"/>
      <c r="M28" s="100"/>
      <c r="N28" s="64"/>
      <c r="O28" s="64"/>
      <c r="P28" s="64"/>
      <c r="Q28" s="64"/>
      <c r="R28" s="64"/>
    </row>
    <row r="29" spans="1:25" s="63" customFormat="1" ht="15.75" x14ac:dyDescent="0.25">
      <c r="B29" s="100" t="s">
        <v>219</v>
      </c>
      <c r="C29" s="281">
        <f>+(C19*(1-C20)*C21)+((C23+(C24*C25))*C28)</f>
        <v>6.1800088000000003E-2</v>
      </c>
      <c r="D29" s="295" t="str">
        <f>+IF(C31=C29,"Selected wacc","Not used")</f>
        <v>Not used</v>
      </c>
      <c r="E29" s="64"/>
      <c r="G29" s="64"/>
      <c r="H29" s="64"/>
      <c r="I29" s="64"/>
      <c r="J29" s="64"/>
      <c r="K29" s="64"/>
      <c r="L29" s="64"/>
      <c r="M29" s="100"/>
      <c r="N29" s="64"/>
      <c r="O29" s="64"/>
      <c r="P29" s="64"/>
      <c r="Q29" s="64"/>
      <c r="R29" s="64"/>
    </row>
    <row r="30" spans="1:25" s="63" customFormat="1" ht="15.75" x14ac:dyDescent="0.25">
      <c r="A30" s="7"/>
      <c r="B30" s="293" t="s">
        <v>220</v>
      </c>
      <c r="C30" s="281">
        <f>+((C19*(1-C20)*C21)+((C26)*C28))</f>
        <v>8.9731487999999998E-2</v>
      </c>
      <c r="D30" s="295" t="str">
        <f>+IF(C31=C30,"Selected wacc","Not in use" )</f>
        <v>Selected wacc</v>
      </c>
      <c r="E30" s="64"/>
      <c r="F30" s="64"/>
      <c r="G30" s="64"/>
      <c r="H30" s="64"/>
      <c r="I30" s="64"/>
      <c r="J30" s="64"/>
      <c r="K30" s="64"/>
      <c r="L30" s="64"/>
      <c r="M30" s="100"/>
      <c r="N30" s="64"/>
      <c r="O30" s="64"/>
      <c r="P30" s="64"/>
      <c r="Q30" s="64"/>
      <c r="R30" s="64"/>
    </row>
    <row r="31" spans="1:25" s="63" customFormat="1" ht="15.75" x14ac:dyDescent="0.25">
      <c r="A31" s="7" t="s">
        <v>1</v>
      </c>
      <c r="B31" s="260" t="s">
        <v>221</v>
      </c>
      <c r="C31" s="296">
        <v>8.9731487999999998E-2</v>
      </c>
      <c r="D31" s="64"/>
      <c r="E31" s="64"/>
      <c r="F31" s="64"/>
      <c r="G31" s="64"/>
      <c r="H31" s="64"/>
      <c r="I31" s="64"/>
      <c r="J31" s="64"/>
      <c r="K31" s="64"/>
      <c r="L31" s="64"/>
      <c r="M31" s="100"/>
      <c r="N31" s="64"/>
      <c r="O31" s="64"/>
      <c r="P31" s="64"/>
      <c r="Q31" s="64"/>
      <c r="R31" s="64"/>
    </row>
    <row r="32" spans="1:25" s="63" customFormat="1" ht="15.75" x14ac:dyDescent="0.25">
      <c r="A32" s="1"/>
      <c r="B32" s="64"/>
      <c r="C32" s="64"/>
      <c r="D32" s="64"/>
      <c r="E32" s="64"/>
      <c r="F32" s="64"/>
      <c r="G32" s="64"/>
      <c r="H32" s="64"/>
      <c r="I32" s="64"/>
      <c r="J32" s="64"/>
      <c r="K32" s="64"/>
      <c r="L32" s="64"/>
      <c r="M32" s="64"/>
      <c r="N32" s="64"/>
      <c r="O32" s="64"/>
      <c r="P32" s="64"/>
      <c r="Q32" s="64"/>
      <c r="R32" s="172"/>
      <c r="S32" s="172"/>
      <c r="T32" s="172"/>
      <c r="U32" s="172"/>
      <c r="V32" s="172"/>
      <c r="W32" s="172"/>
      <c r="X32" s="172"/>
      <c r="Y32" s="172"/>
    </row>
    <row r="33" spans="1:25" ht="19.5" thickBot="1" x14ac:dyDescent="0.35">
      <c r="A33" s="7" t="s">
        <v>1</v>
      </c>
      <c r="B33" s="67" t="s">
        <v>222</v>
      </c>
      <c r="C33" s="67"/>
      <c r="D33" s="67"/>
      <c r="E33" s="67"/>
      <c r="F33" s="67"/>
      <c r="G33" s="67"/>
      <c r="H33" s="67"/>
      <c r="I33" s="67"/>
      <c r="J33" s="67"/>
      <c r="K33" s="67"/>
      <c r="L33" s="64"/>
      <c r="M33" s="64"/>
      <c r="N33" s="64"/>
      <c r="R33" s="172"/>
      <c r="S33" s="172"/>
      <c r="T33" s="172"/>
      <c r="U33" s="172"/>
      <c r="V33" s="172"/>
      <c r="W33" s="172"/>
      <c r="X33" s="172"/>
      <c r="Y33" s="172"/>
    </row>
    <row r="34" spans="1:25" x14ac:dyDescent="0.25">
      <c r="A34" s="1"/>
      <c r="B34" s="125"/>
      <c r="C34" s="297"/>
      <c r="D34" s="297"/>
      <c r="E34" s="297"/>
      <c r="F34" s="297"/>
      <c r="G34" s="297"/>
      <c r="H34" s="297"/>
      <c r="I34" s="297"/>
      <c r="J34" s="297"/>
      <c r="K34" s="297"/>
      <c r="P34" s="75"/>
      <c r="Q34" s="166"/>
      <c r="R34" s="172"/>
      <c r="S34" s="172"/>
      <c r="T34" s="172"/>
      <c r="U34" s="172"/>
      <c r="V34" s="172"/>
      <c r="W34" s="172"/>
      <c r="X34" s="172"/>
      <c r="Y34" s="172"/>
    </row>
    <row r="35" spans="1:25" x14ac:dyDescent="0.25">
      <c r="A35" s="1"/>
      <c r="B35" s="298" t="s">
        <v>74</v>
      </c>
      <c r="C35" s="299"/>
      <c r="D35" s="299"/>
      <c r="E35" s="299"/>
      <c r="F35" s="147" t="s">
        <v>223</v>
      </c>
      <c r="G35" s="147" t="s">
        <v>76</v>
      </c>
      <c r="H35" s="147"/>
      <c r="I35" s="147"/>
      <c r="J35" s="147"/>
      <c r="K35" s="147"/>
      <c r="L35" s="75"/>
      <c r="R35" s="172"/>
      <c r="S35" s="172"/>
      <c r="T35" s="172"/>
      <c r="U35" s="172"/>
      <c r="V35" s="172"/>
      <c r="W35" s="172"/>
      <c r="X35" s="172"/>
      <c r="Y35" s="172"/>
    </row>
    <row r="36" spans="1:25" x14ac:dyDescent="0.25">
      <c r="A36" s="1"/>
      <c r="B36" s="75"/>
      <c r="C36" s="300"/>
      <c r="D36" s="300"/>
      <c r="E36" s="300"/>
      <c r="F36" s="301">
        <f>+G36</f>
        <v>2016</v>
      </c>
      <c r="G36" s="301">
        <f>FSM!F8</f>
        <v>2016</v>
      </c>
      <c r="H36" s="301">
        <f>FSM!G8</f>
        <v>2017</v>
      </c>
      <c r="I36" s="301">
        <f>FSM!H8</f>
        <v>2018</v>
      </c>
      <c r="J36" s="301">
        <f>FSM!I8</f>
        <v>2019</v>
      </c>
      <c r="K36" s="301">
        <f>FSM!J8</f>
        <v>2020</v>
      </c>
      <c r="R36" s="172"/>
      <c r="S36" s="172"/>
      <c r="T36" s="172"/>
      <c r="U36" s="172"/>
      <c r="V36" s="172"/>
      <c r="W36" s="172"/>
      <c r="X36" s="172"/>
      <c r="Y36" s="172"/>
    </row>
    <row r="37" spans="1:25" x14ac:dyDescent="0.25">
      <c r="A37" s="1"/>
      <c r="B37" s="302" t="s">
        <v>224</v>
      </c>
      <c r="C37" s="303"/>
      <c r="D37" s="303"/>
      <c r="E37" s="304"/>
      <c r="F37" s="304">
        <f>+DATE(YEAR(C8)+1,1,31)</f>
        <v>42400</v>
      </c>
      <c r="G37" s="305">
        <f>DATE(YEAR(C8)+1,1,31)</f>
        <v>42400</v>
      </c>
      <c r="H37" s="304">
        <f>+DATE(YEAR(G37)+1,1,31)</f>
        <v>42766</v>
      </c>
      <c r="I37" s="304">
        <f t="shared" ref="I37:K37" si="0">+DATE(YEAR(H37)+1,1,31)</f>
        <v>43131</v>
      </c>
      <c r="J37" s="304">
        <f t="shared" si="0"/>
        <v>43496</v>
      </c>
      <c r="K37" s="304">
        <f t="shared" si="0"/>
        <v>43861</v>
      </c>
      <c r="M37" s="276"/>
      <c r="R37" s="172"/>
      <c r="S37" s="172"/>
      <c r="T37" s="172"/>
      <c r="U37" s="172"/>
      <c r="V37" s="172"/>
      <c r="W37" s="172"/>
      <c r="X37" s="172"/>
      <c r="Y37" s="172"/>
    </row>
    <row r="38" spans="1:25" x14ac:dyDescent="0.25">
      <c r="A38" s="1"/>
      <c r="B38" s="75" t="s">
        <v>225</v>
      </c>
      <c r="C38" s="159"/>
      <c r="D38" s="159"/>
      <c r="E38" s="159"/>
      <c r="F38" s="159">
        <f ca="1">+G38*$C$11</f>
        <v>0.7120137260274173</v>
      </c>
      <c r="G38" s="306">
        <f ca="1">+FSM!F14</f>
        <v>4.7251820000001317</v>
      </c>
      <c r="H38" s="306">
        <f ca="1">+FSM!G14</f>
        <v>28.351091999999994</v>
      </c>
      <c r="I38" s="306">
        <f ca="1">+FSM!H14</f>
        <v>42.95190437999986</v>
      </c>
      <c r="J38" s="306">
        <f ca="1">+FSM!I14</f>
        <v>58.128243927599897</v>
      </c>
      <c r="K38" s="306">
        <f ca="1">+FSM!J14</f>
        <v>68.833528850932908</v>
      </c>
      <c r="R38" s="172"/>
      <c r="S38" s="172"/>
      <c r="T38" s="172"/>
      <c r="U38" s="172"/>
      <c r="V38" s="172"/>
      <c r="W38" s="172"/>
      <c r="X38" s="172"/>
      <c r="Y38" s="172"/>
    </row>
    <row r="39" spans="1:25" x14ac:dyDescent="0.25">
      <c r="A39" s="1"/>
      <c r="B39" s="75" t="s">
        <v>42</v>
      </c>
      <c r="C39" s="307"/>
      <c r="D39" s="307"/>
      <c r="E39" s="307"/>
      <c r="F39" s="308">
        <f ca="1">+G39</f>
        <v>0.29299999999999998</v>
      </c>
      <c r="G39" s="308">
        <f ca="1">+FSM!F36</f>
        <v>0.29299999999999998</v>
      </c>
      <c r="H39" s="308">
        <f ca="1">+FSM!G36</f>
        <v>0.29299999999999998</v>
      </c>
      <c r="I39" s="308">
        <f ca="1">+FSM!H36</f>
        <v>0.29299999999999998</v>
      </c>
      <c r="J39" s="308">
        <f ca="1">+FSM!I36</f>
        <v>0.29299999999999998</v>
      </c>
      <c r="K39" s="308">
        <f ca="1">+FSM!J36</f>
        <v>0.29299999999999998</v>
      </c>
      <c r="Q39" s="75"/>
      <c r="R39" s="172"/>
      <c r="S39" s="172"/>
      <c r="T39" s="172"/>
      <c r="U39" s="172"/>
      <c r="V39" s="172"/>
      <c r="W39" s="172"/>
      <c r="X39" s="172"/>
      <c r="Y39" s="172"/>
    </row>
    <row r="40" spans="1:25" x14ac:dyDescent="0.25">
      <c r="A40" s="7"/>
      <c r="B40" s="309" t="s">
        <v>226</v>
      </c>
      <c r="C40" s="159"/>
      <c r="D40" s="159"/>
      <c r="E40" s="159"/>
      <c r="F40" s="310">
        <f ca="1">+F38*(1-F39)</f>
        <v>0.50339370430138408</v>
      </c>
      <c r="G40" s="310">
        <f ca="1">+G38*(1-G39)</f>
        <v>3.3407036740000935</v>
      </c>
      <c r="H40" s="310">
        <f t="shared" ref="H40:K40" ca="1" si="1">+H38*(1-H39)</f>
        <v>20.044222043999998</v>
      </c>
      <c r="I40" s="310">
        <f t="shared" ca="1" si="1"/>
        <v>30.366996396659903</v>
      </c>
      <c r="J40" s="310">
        <f t="shared" ca="1" si="1"/>
        <v>41.096668456813134</v>
      </c>
      <c r="K40" s="310">
        <f t="shared" ca="1" si="1"/>
        <v>48.665304897609573</v>
      </c>
      <c r="P40" s="75"/>
      <c r="Q40" s="166"/>
      <c r="R40" s="172"/>
      <c r="S40" s="172"/>
      <c r="T40" s="172"/>
      <c r="U40" s="172"/>
      <c r="V40" s="172"/>
      <c r="W40" s="172"/>
      <c r="X40" s="172"/>
      <c r="Y40" s="172"/>
    </row>
    <row r="41" spans="1:25" x14ac:dyDescent="0.25">
      <c r="A41" s="1"/>
      <c r="B41" s="125"/>
      <c r="C41" s="297"/>
      <c r="D41" s="297"/>
      <c r="E41" s="297"/>
      <c r="F41" s="297"/>
      <c r="G41" s="311"/>
      <c r="P41" s="75"/>
      <c r="Q41" s="166"/>
      <c r="R41" s="172"/>
      <c r="S41" s="172"/>
      <c r="T41" s="172"/>
      <c r="U41" s="172"/>
      <c r="V41" s="172"/>
      <c r="W41" s="172"/>
      <c r="X41" s="172"/>
      <c r="Y41" s="172"/>
    </row>
    <row r="42" spans="1:25" x14ac:dyDescent="0.25">
      <c r="A42" s="7"/>
      <c r="B42" s="216" t="s">
        <v>88</v>
      </c>
      <c r="C42" s="159"/>
      <c r="D42" s="159"/>
      <c r="E42" s="159"/>
      <c r="F42" s="159">
        <f ca="1">+$C$11*G42</f>
        <v>5.813592073013699</v>
      </c>
      <c r="G42" s="306">
        <f ca="1">+FSM!F72</f>
        <v>38.581111029999988</v>
      </c>
      <c r="H42" s="306">
        <f ca="1">+FSM!G72</f>
        <v>37.801456000000002</v>
      </c>
      <c r="I42" s="306">
        <f ca="1">+FSM!H72</f>
        <v>42.951904379999995</v>
      </c>
      <c r="J42" s="306">
        <f ca="1">+FSM!I72</f>
        <v>48.440203273000002</v>
      </c>
      <c r="K42" s="306">
        <f ca="1">+FSM!J72</f>
        <v>54.08348695430449</v>
      </c>
      <c r="P42" s="75"/>
      <c r="Q42" s="168"/>
      <c r="R42" s="172"/>
      <c r="S42" s="172"/>
      <c r="T42" s="172"/>
      <c r="U42" s="172"/>
      <c r="V42" s="172"/>
      <c r="W42" s="172"/>
      <c r="X42" s="172"/>
      <c r="Y42" s="172"/>
    </row>
    <row r="43" spans="1:25" x14ac:dyDescent="0.25">
      <c r="A43" s="7"/>
      <c r="B43" s="216" t="s">
        <v>89</v>
      </c>
      <c r="C43" s="159"/>
      <c r="D43" s="159"/>
      <c r="E43" s="159"/>
      <c r="F43" s="159"/>
      <c r="G43" s="306">
        <f ca="1">+FSM!F73</f>
        <v>0.75224897439999994</v>
      </c>
      <c r="H43" s="306">
        <f ca="1">+FSM!G73</f>
        <v>0.73334824640000007</v>
      </c>
      <c r="I43" s="306">
        <f ca="1">+FSM!H73</f>
        <v>0.72922788769600011</v>
      </c>
      <c r="J43" s="306">
        <f ca="1">+FSM!I73</f>
        <v>0.7285406572259201</v>
      </c>
      <c r="K43" s="306">
        <f ca="1">+FSM!J73</f>
        <v>0.73160207807277355</v>
      </c>
      <c r="P43" s="75"/>
      <c r="Q43" s="168"/>
      <c r="R43" s="172"/>
      <c r="S43" s="172"/>
      <c r="T43" s="172"/>
      <c r="U43" s="172"/>
      <c r="V43" s="172"/>
      <c r="W43" s="172"/>
      <c r="X43" s="172"/>
      <c r="Y43" s="172"/>
    </row>
    <row r="44" spans="1:25" x14ac:dyDescent="0.25">
      <c r="A44" s="1"/>
      <c r="B44" t="s">
        <v>121</v>
      </c>
      <c r="C44" s="159"/>
      <c r="D44" s="159"/>
      <c r="E44" s="159"/>
      <c r="F44" s="159">
        <f t="shared" ref="F44:F50" ca="1" si="2">+$C$11*G44</f>
        <v>-0.17591297429161196</v>
      </c>
      <c r="G44" s="306">
        <f ca="1">+FSM!F74</f>
        <v>-1.1674224657534245</v>
      </c>
      <c r="H44" s="306">
        <f ca="1">+FSM!G74</f>
        <v>0</v>
      </c>
      <c r="I44" s="306">
        <f ca="1">+FSM!H74</f>
        <v>-7.7674224657534374E-2</v>
      </c>
      <c r="J44" s="306">
        <f ca="1">+FSM!I74</f>
        <v>-0.11767645035616425</v>
      </c>
      <c r="K44" s="306">
        <f ca="1">+FSM!J74</f>
        <v>-0.11944159711150526</v>
      </c>
      <c r="P44" s="75"/>
      <c r="Q44" s="168"/>
      <c r="R44" s="172"/>
      <c r="S44" s="172"/>
      <c r="T44" s="172"/>
      <c r="U44" s="172"/>
      <c r="V44" s="172"/>
      <c r="W44" s="172"/>
      <c r="X44" s="172"/>
      <c r="Y44" s="172"/>
    </row>
    <row r="45" spans="1:25" x14ac:dyDescent="0.25">
      <c r="A45" s="1"/>
      <c r="B45" t="s">
        <v>99</v>
      </c>
      <c r="C45" s="159"/>
      <c r="D45" s="159"/>
      <c r="E45" s="159"/>
      <c r="F45" s="159">
        <f t="shared" ca="1" si="2"/>
        <v>-2.2922108008256701</v>
      </c>
      <c r="G45" s="306">
        <f ca="1">+FSM!F75</f>
        <v>-15.211944405479443</v>
      </c>
      <c r="H45" s="306">
        <f ca="1">+FSM!G75</f>
        <v>15.457170706849325</v>
      </c>
      <c r="I45" s="306">
        <f ca="1">+FSM!H75</f>
        <v>10.836848910136965</v>
      </c>
      <c r="J45" s="306">
        <f ca="1">+FSM!I75</f>
        <v>5.0731625264657652</v>
      </c>
      <c r="K45" s="306">
        <f ca="1">+FSM!J75</f>
        <v>9.4226148832410956</v>
      </c>
      <c r="P45" s="75"/>
      <c r="Q45" s="168"/>
      <c r="R45" s="172"/>
      <c r="S45" s="172"/>
      <c r="T45" s="172"/>
      <c r="U45" s="172"/>
      <c r="V45" s="172"/>
      <c r="W45" s="172"/>
      <c r="X45" s="172"/>
      <c r="Y45" s="172"/>
    </row>
    <row r="46" spans="1:25" x14ac:dyDescent="0.25">
      <c r="A46" s="1"/>
      <c r="B46" t="s">
        <v>100</v>
      </c>
      <c r="C46" s="159"/>
      <c r="D46" s="159"/>
      <c r="E46" s="159"/>
      <c r="F46" s="159">
        <f t="shared" si="2"/>
        <v>0</v>
      </c>
      <c r="G46" s="306">
        <f>+FSM!F76</f>
        <v>0</v>
      </c>
      <c r="H46" s="306">
        <f>+FSM!G76</f>
        <v>0</v>
      </c>
      <c r="I46" s="306">
        <f>+FSM!H76</f>
        <v>0</v>
      </c>
      <c r="J46" s="306">
        <f>+FSM!I76</f>
        <v>0</v>
      </c>
      <c r="K46" s="306">
        <f>+FSM!J76</f>
        <v>0</v>
      </c>
      <c r="P46" s="75"/>
      <c r="Q46" s="172"/>
      <c r="R46" s="172"/>
      <c r="S46" s="172"/>
      <c r="T46" s="172"/>
      <c r="U46" s="172"/>
      <c r="V46" s="172"/>
      <c r="W46" s="172"/>
      <c r="X46" s="172"/>
      <c r="Y46" s="172"/>
    </row>
    <row r="47" spans="1:25" x14ac:dyDescent="0.25">
      <c r="A47" s="1"/>
      <c r="B47" s="136" t="s">
        <v>122</v>
      </c>
      <c r="C47" s="159"/>
      <c r="D47" s="159"/>
      <c r="E47" s="159"/>
      <c r="F47" s="159">
        <f t="shared" si="2"/>
        <v>-0.15821917808219194</v>
      </c>
      <c r="G47" s="306">
        <f>+FSM!F77</f>
        <v>-1.0500000000000007</v>
      </c>
      <c r="H47" s="306">
        <f>+FSM!G77</f>
        <v>0.52500000000000213</v>
      </c>
      <c r="I47" s="306">
        <f>+FSM!H77</f>
        <v>-0.26250000000000284</v>
      </c>
      <c r="J47" s="306">
        <f>+FSM!I77</f>
        <v>0.13125000000000142</v>
      </c>
      <c r="K47" s="306">
        <f>+FSM!J77</f>
        <v>-6.5625000000000711E-2</v>
      </c>
      <c r="P47" s="75"/>
      <c r="Q47" s="75"/>
      <c r="R47" s="172"/>
      <c r="S47" s="172"/>
      <c r="T47" s="172"/>
      <c r="U47" s="172"/>
      <c r="V47" s="172"/>
      <c r="W47" s="172"/>
      <c r="X47" s="172"/>
      <c r="Y47" s="172"/>
    </row>
    <row r="48" spans="1:25" x14ac:dyDescent="0.25">
      <c r="A48" s="1"/>
      <c r="B48" s="75" t="s">
        <v>123</v>
      </c>
      <c r="C48" s="159"/>
      <c r="D48" s="159"/>
      <c r="E48" s="159"/>
      <c r="F48" s="159">
        <f t="shared" ca="1" si="2"/>
        <v>0.43080378361643795</v>
      </c>
      <c r="G48" s="306">
        <f ca="1">+FSM!F78</f>
        <v>2.8589705639999963</v>
      </c>
      <c r="H48" s="306">
        <f ca="1">+FSM!G78</f>
        <v>-2.088530444000007</v>
      </c>
      <c r="I48" s="306">
        <f ca="1">+FSM!H78</f>
        <v>-0.11671199539998156</v>
      </c>
      <c r="J48" s="306">
        <f ca="1">+FSM!I78</f>
        <v>0.12408327931998997</v>
      </c>
      <c r="K48" s="306">
        <f ca="1">+FSM!J78</f>
        <v>0.75566717105880343</v>
      </c>
      <c r="P48" s="75"/>
      <c r="Q48" s="75"/>
      <c r="R48" s="172"/>
      <c r="S48" s="172"/>
      <c r="T48" s="172"/>
      <c r="U48" s="172"/>
      <c r="V48" s="172"/>
      <c r="W48" s="172"/>
      <c r="X48" s="172"/>
      <c r="Y48" s="172"/>
    </row>
    <row r="49" spans="1:25" x14ac:dyDescent="0.25">
      <c r="A49" s="1"/>
      <c r="B49" s="136" t="s">
        <v>106</v>
      </c>
      <c r="C49" s="159"/>
      <c r="D49" s="159"/>
      <c r="E49" s="159"/>
      <c r="F49" s="159">
        <f t="shared" si="2"/>
        <v>0</v>
      </c>
      <c r="G49" s="306">
        <f>+FSM!F79</f>
        <v>0</v>
      </c>
      <c r="H49" s="306">
        <f>+FSM!G79</f>
        <v>0</v>
      </c>
      <c r="I49" s="306">
        <f>+FSM!H79</f>
        <v>0</v>
      </c>
      <c r="J49" s="306">
        <f>+FSM!I79</f>
        <v>0</v>
      </c>
      <c r="K49" s="306">
        <f>+FSM!J79</f>
        <v>0</v>
      </c>
      <c r="P49" s="75"/>
      <c r="Q49" s="75"/>
      <c r="R49" s="172"/>
      <c r="S49" s="172"/>
      <c r="T49" s="172"/>
      <c r="U49" s="172"/>
      <c r="V49" s="172"/>
      <c r="W49" s="172"/>
      <c r="X49" s="172"/>
      <c r="Y49" s="172"/>
    </row>
    <row r="50" spans="1:25" x14ac:dyDescent="0.25">
      <c r="A50" s="1"/>
      <c r="B50" s="207" t="s">
        <v>108</v>
      </c>
      <c r="C50" s="159"/>
      <c r="D50" s="159"/>
      <c r="E50" s="159"/>
      <c r="F50" s="159">
        <f t="shared" si="2"/>
        <v>0</v>
      </c>
      <c r="G50" s="306">
        <f>+FSM!F81</f>
        <v>0</v>
      </c>
      <c r="H50" s="306">
        <f>+FSM!G81</f>
        <v>0</v>
      </c>
      <c r="I50" s="306">
        <f>+FSM!H81</f>
        <v>0</v>
      </c>
      <c r="J50" s="306">
        <f>+FSM!I81</f>
        <v>0</v>
      </c>
      <c r="K50" s="306">
        <f>+FSM!J81</f>
        <v>0</v>
      </c>
      <c r="P50" s="75"/>
      <c r="Q50" s="75"/>
      <c r="R50" s="172"/>
      <c r="S50" s="172"/>
      <c r="T50" s="172"/>
      <c r="U50" s="172"/>
      <c r="V50" s="172"/>
      <c r="W50" s="172"/>
      <c r="X50" s="172"/>
      <c r="Y50" s="172"/>
    </row>
    <row r="51" spans="1:25" x14ac:dyDescent="0.25">
      <c r="A51" s="1"/>
      <c r="B51" s="312" t="s">
        <v>227</v>
      </c>
      <c r="C51" s="313"/>
      <c r="D51" s="313"/>
      <c r="E51" s="313"/>
      <c r="F51" s="314">
        <f t="shared" ref="F51:K51" ca="1" si="3">+F40+SUM(F42:F50)</f>
        <v>4.1214466077320466</v>
      </c>
      <c r="G51" s="314">
        <f t="shared" ca="1" si="3"/>
        <v>28.103667371167205</v>
      </c>
      <c r="H51" s="314">
        <f t="shared" ca="1" si="3"/>
        <v>72.472666553249326</v>
      </c>
      <c r="I51" s="314">
        <f t="shared" ca="1" si="3"/>
        <v>84.428091354435338</v>
      </c>
      <c r="J51" s="314">
        <f t="shared" ca="1" si="3"/>
        <v>95.476231742468656</v>
      </c>
      <c r="K51" s="314">
        <f t="shared" ca="1" si="3"/>
        <v>113.47360938717523</v>
      </c>
      <c r="P51" s="75"/>
      <c r="Q51" s="166"/>
      <c r="R51" s="172"/>
      <c r="S51" s="172"/>
      <c r="T51" s="172"/>
      <c r="U51" s="172"/>
      <c r="V51" s="172"/>
      <c r="W51" s="172"/>
      <c r="X51" s="172"/>
      <c r="Y51" s="172"/>
    </row>
    <row r="52" spans="1:25" x14ac:dyDescent="0.25">
      <c r="A52" s="1"/>
      <c r="C52" s="159"/>
      <c r="D52" s="159"/>
      <c r="E52" s="159"/>
      <c r="F52" s="159"/>
      <c r="P52" s="75"/>
      <c r="Q52" s="168"/>
      <c r="R52" s="172"/>
      <c r="S52" s="172"/>
      <c r="T52" s="172"/>
      <c r="U52" s="172"/>
      <c r="V52" s="172"/>
      <c r="W52" s="172"/>
      <c r="X52" s="172"/>
      <c r="Y52" s="172"/>
    </row>
    <row r="53" spans="1:25" x14ac:dyDescent="0.25">
      <c r="A53" s="1"/>
      <c r="B53" s="75" t="s">
        <v>126</v>
      </c>
      <c r="C53" s="159"/>
      <c r="D53" s="159"/>
      <c r="E53" s="159"/>
      <c r="F53" s="159">
        <f ca="1">+ $C$11*G53</f>
        <v>-5.0552974547945215</v>
      </c>
      <c r="G53" s="306">
        <f ca="1">+FSM!F84</f>
        <v>-33.548792199999994</v>
      </c>
      <c r="H53" s="306">
        <f ca="1">+FSM!G84</f>
        <v>-37.801456000000002</v>
      </c>
      <c r="I53" s="306">
        <f ca="1">+FSM!H84</f>
        <v>-42.951904379999995</v>
      </c>
      <c r="J53" s="306">
        <f ca="1">+FSM!I84</f>
        <v>-48.440203273000002</v>
      </c>
      <c r="K53" s="306">
        <f ca="1">+FSM!J84</f>
        <v>-54.08348695430449</v>
      </c>
      <c r="P53" s="75"/>
      <c r="Q53" s="168"/>
      <c r="R53" s="172"/>
      <c r="S53" s="172"/>
      <c r="T53" s="172"/>
      <c r="U53" s="172"/>
      <c r="V53" s="172"/>
      <c r="W53" s="172"/>
      <c r="X53" s="172"/>
      <c r="Y53" s="172"/>
    </row>
    <row r="54" spans="1:25" x14ac:dyDescent="0.25">
      <c r="A54" s="1"/>
      <c r="B54" s="136" t="s">
        <v>228</v>
      </c>
      <c r="C54" s="159"/>
      <c r="D54" s="159"/>
      <c r="E54" s="159"/>
      <c r="F54" s="159">
        <f t="shared" ref="F54" si="4">+ $C$11*G54</f>
        <v>-0.18082191780821924</v>
      </c>
      <c r="G54" s="306">
        <f>+IF(FSM!F142&lt;0,FSM!F142,0)</f>
        <v>-1.2</v>
      </c>
      <c r="H54" s="306">
        <f>+IF(FSM!G142&lt;0,FSM!G142,0)</f>
        <v>-1.2</v>
      </c>
      <c r="I54" s="306">
        <f>+IF(FSM!H142&lt;0,FSM!H142,0)</f>
        <v>-1.2</v>
      </c>
      <c r="J54" s="306">
        <f>+IF(FSM!I142&lt;0,FSM!I142,0)</f>
        <v>0</v>
      </c>
      <c r="K54" s="306">
        <f>+IF(FSM!J142&lt;0,FSM!J142,0)</f>
        <v>0</v>
      </c>
      <c r="P54" s="75"/>
      <c r="Q54" s="168"/>
      <c r="R54" s="172"/>
      <c r="S54" s="172"/>
      <c r="T54" s="172"/>
      <c r="U54" s="172"/>
      <c r="V54" s="172"/>
      <c r="W54" s="172"/>
      <c r="X54" s="172"/>
      <c r="Y54" s="172"/>
    </row>
    <row r="55" spans="1:25" x14ac:dyDescent="0.25">
      <c r="A55" s="1"/>
      <c r="C55" s="159"/>
      <c r="D55" s="159"/>
      <c r="E55" s="159"/>
      <c r="F55" s="159"/>
      <c r="P55" s="75"/>
      <c r="Q55" s="168"/>
      <c r="R55" s="172"/>
      <c r="S55" s="172"/>
      <c r="T55" s="172"/>
      <c r="U55" s="172"/>
      <c r="V55" s="172"/>
      <c r="W55" s="172"/>
      <c r="X55" s="172"/>
      <c r="Y55" s="172"/>
    </row>
    <row r="56" spans="1:25" x14ac:dyDescent="0.25">
      <c r="A56" s="1"/>
      <c r="B56" s="315" t="s">
        <v>229</v>
      </c>
      <c r="C56" s="182"/>
      <c r="D56" s="182"/>
      <c r="E56" s="182"/>
      <c r="F56" s="316">
        <f t="shared" ref="F56:K56" ca="1" si="5">+F51+SUM(F53:F54)</f>
        <v>-1.1146727648706944</v>
      </c>
      <c r="G56" s="316">
        <f t="shared" ca="1" si="5"/>
        <v>-6.6451248288327918</v>
      </c>
      <c r="H56" s="316">
        <f t="shared" ca="1" si="5"/>
        <v>33.471210553249321</v>
      </c>
      <c r="I56" s="316">
        <f t="shared" ca="1" si="5"/>
        <v>40.27618697443534</v>
      </c>
      <c r="J56" s="316">
        <f t="shared" ca="1" si="5"/>
        <v>47.036028469468654</v>
      </c>
      <c r="K56" s="316">
        <f t="shared" ca="1" si="5"/>
        <v>59.39012243287074</v>
      </c>
      <c r="P56" s="75"/>
      <c r="Q56" s="172"/>
      <c r="R56" s="172"/>
      <c r="S56" s="172"/>
      <c r="T56" s="172"/>
      <c r="U56" s="172"/>
      <c r="V56" s="172"/>
      <c r="W56" s="172"/>
      <c r="X56" s="172"/>
      <c r="Y56" s="172"/>
    </row>
    <row r="57" spans="1:25" x14ac:dyDescent="0.25">
      <c r="A57" s="1"/>
      <c r="B57" s="5" t="s">
        <v>230</v>
      </c>
      <c r="C57" s="182"/>
      <c r="D57" s="182"/>
      <c r="E57" s="182"/>
      <c r="F57" s="317">
        <v>1</v>
      </c>
      <c r="G57" s="317">
        <v>1</v>
      </c>
      <c r="H57" s="317">
        <f>+G57+1</f>
        <v>2</v>
      </c>
      <c r="I57" s="317">
        <f t="shared" ref="I57:J57" si="6">+H57+1</f>
        <v>3</v>
      </c>
      <c r="J57" s="317">
        <f t="shared" si="6"/>
        <v>4</v>
      </c>
      <c r="K57" s="317">
        <f>+J57+1</f>
        <v>5</v>
      </c>
      <c r="P57" s="75"/>
      <c r="Q57" s="172"/>
      <c r="R57" s="172"/>
      <c r="S57" s="172"/>
      <c r="T57" s="172"/>
      <c r="U57" s="172"/>
      <c r="V57" s="172"/>
      <c r="W57" s="172"/>
      <c r="X57" s="172"/>
      <c r="Y57" s="172"/>
    </row>
    <row r="58" spans="1:25" x14ac:dyDescent="0.25">
      <c r="A58" s="1"/>
      <c r="B58" s="5" t="s">
        <v>231</v>
      </c>
      <c r="C58" s="318"/>
      <c r="D58" s="318"/>
      <c r="E58" s="318"/>
      <c r="F58" s="290">
        <f>+C11</f>
        <v>0.15068493150684936</v>
      </c>
      <c r="G58" s="290">
        <f>+G57</f>
        <v>1</v>
      </c>
      <c r="H58" s="290">
        <f>+G57+$C$11</f>
        <v>1.1506849315068495</v>
      </c>
      <c r="I58" s="290">
        <f t="shared" ref="I58:J58" si="7">+H57+$C$11</f>
        <v>2.1506849315068495</v>
      </c>
      <c r="J58" s="290">
        <f t="shared" si="7"/>
        <v>3.1506849315068495</v>
      </c>
      <c r="K58" s="290">
        <f>+J57+$C$11</f>
        <v>4.1506849315068495</v>
      </c>
      <c r="P58" s="75"/>
      <c r="Q58" s="172"/>
      <c r="R58" s="172"/>
      <c r="S58" s="172"/>
      <c r="T58" s="172"/>
      <c r="U58" s="172"/>
      <c r="V58" s="172"/>
      <c r="W58" s="172"/>
      <c r="X58" s="172"/>
      <c r="Y58" s="172"/>
    </row>
    <row r="59" spans="1:25" x14ac:dyDescent="0.25">
      <c r="A59" s="1"/>
      <c r="B59" s="5" t="s">
        <v>232</v>
      </c>
      <c r="C59" s="319" t="s">
        <v>233</v>
      </c>
      <c r="E59" s="320" t="s">
        <v>234</v>
      </c>
      <c r="F59" s="321">
        <f>IF($C$59="Mid of Period",1/((1+$C$31)^(F58*0.5)),1/((1+$C$31)^(F58)))</f>
        <v>0.9935466350990062</v>
      </c>
      <c r="G59" s="321">
        <f>IF($C$59="Mid of Period",1/((1+$C$31)^(G58*0.5)),1/((1+$C$31)^(G58)))</f>
        <v>0.95794428310107949</v>
      </c>
      <c r="H59" s="321">
        <f>IF($C$59="Mid of Period",1/((1+$C$31)^(H58-0.5)),1/((1+$C$31)^(H58)))</f>
        <v>0.94562024954332025</v>
      </c>
      <c r="I59" s="321">
        <f>IF($C$59="Mid of Period",1/((1+$C$31)^(I58-0.5)),1/((1+$C$31)^(I58)))</f>
        <v>0.86775527729205193</v>
      </c>
      <c r="J59" s="321">
        <f>IF($C$59="Mid of Period",1/((1+$C$31)^(J58-0.5)),1/((1+$C$31)^(J58)))</f>
        <v>0.7963019210215313</v>
      </c>
      <c r="K59" s="321">
        <f>IF($C$59="Mid of Period",1/((1+$C$31)^(K58-0.5)),1/((1+$C$31)^(K58)))</f>
        <v>0.73073223063692128</v>
      </c>
      <c r="M59" s="238"/>
    </row>
    <row r="60" spans="1:25" x14ac:dyDescent="0.25">
      <c r="A60" s="1"/>
      <c r="B60" s="9" t="s">
        <v>235</v>
      </c>
      <c r="C60" s="322">
        <f>+IF(C59="End of Period",1,((1+C31)^(0.5)))</f>
        <v>1.0439020490448325</v>
      </c>
      <c r="D60" s="323"/>
      <c r="E60" s="323"/>
      <c r="F60" s="321"/>
      <c r="G60" s="321"/>
      <c r="H60" s="321"/>
      <c r="I60" s="321"/>
      <c r="J60" s="321"/>
      <c r="K60" s="321"/>
      <c r="M60" s="238"/>
    </row>
    <row r="61" spans="1:25" x14ac:dyDescent="0.25">
      <c r="A61" s="7" t="s">
        <v>1</v>
      </c>
      <c r="B61" s="324" t="s">
        <v>236</v>
      </c>
      <c r="C61" s="182"/>
      <c r="D61" s="182"/>
      <c r="E61" s="182"/>
      <c r="F61" s="314">
        <f t="shared" ref="F61:K61" ca="1" si="8">+F56*F59</f>
        <v>-1.1074793747737841</v>
      </c>
      <c r="G61" s="314">
        <f t="shared" ca="1" si="8"/>
        <v>-6.3656593402734121</v>
      </c>
      <c r="H61" s="314">
        <f t="shared" ca="1" si="8"/>
        <v>31.651054475880638</v>
      </c>
      <c r="I61" s="314">
        <f t="shared" ca="1" si="8"/>
        <v>34.949873796267667</v>
      </c>
      <c r="J61" s="314">
        <f t="shared" ca="1" si="8"/>
        <v>37.454879827461326</v>
      </c>
      <c r="K61" s="314">
        <f t="shared" ca="1" si="8"/>
        <v>43.398276643171492</v>
      </c>
    </row>
    <row r="62" spans="1:25" x14ac:dyDescent="0.25">
      <c r="A62" s="1"/>
    </row>
    <row r="63" spans="1:25" ht="19.5" thickBot="1" x14ac:dyDescent="0.35">
      <c r="A63" s="7" t="s">
        <v>1</v>
      </c>
      <c r="B63" s="67" t="s">
        <v>237</v>
      </c>
      <c r="C63" s="67"/>
      <c r="D63" s="67"/>
      <c r="E63" s="67"/>
      <c r="F63" s="67"/>
      <c r="G63" s="67"/>
      <c r="H63" s="67"/>
      <c r="I63" s="67"/>
      <c r="J63" s="67"/>
      <c r="K63" s="67"/>
    </row>
    <row r="64" spans="1:25" x14ac:dyDescent="0.25">
      <c r="A64" s="1"/>
    </row>
    <row r="65" spans="1:5" x14ac:dyDescent="0.25">
      <c r="A65" s="1"/>
      <c r="B65" s="221" t="s">
        <v>238</v>
      </c>
    </row>
    <row r="66" spans="1:5" x14ac:dyDescent="0.25">
      <c r="A66" s="1"/>
      <c r="B66" s="40" t="s">
        <v>239</v>
      </c>
      <c r="C66" s="325">
        <f ca="1">+K56</f>
        <v>59.39012243287074</v>
      </c>
    </row>
    <row r="67" spans="1:5" ht="17.25" x14ac:dyDescent="0.25">
      <c r="A67" s="1"/>
      <c r="B67" s="40" t="s">
        <v>240</v>
      </c>
      <c r="C67" s="325">
        <f ca="1">+C66*(1+C68)</f>
        <v>60.577924881528155</v>
      </c>
    </row>
    <row r="68" spans="1:5" x14ac:dyDescent="0.25">
      <c r="A68" s="1"/>
      <c r="B68" s="40" t="s">
        <v>205</v>
      </c>
      <c r="C68" s="213">
        <f>+C16</f>
        <v>0.02</v>
      </c>
    </row>
    <row r="69" spans="1:5" x14ac:dyDescent="0.25">
      <c r="A69" s="7"/>
      <c r="B69" t="s">
        <v>241</v>
      </c>
      <c r="C69" s="325">
        <f ca="1">+C67/($C$31-C68)</f>
        <v>868.73128078850345</v>
      </c>
    </row>
    <row r="70" spans="1:5" x14ac:dyDescent="0.25">
      <c r="A70" s="7"/>
      <c r="B70" t="s">
        <v>242</v>
      </c>
      <c r="C70" s="325">
        <f ca="1">+C69*C60</f>
        <v>906.87036408446056</v>
      </c>
    </row>
    <row r="71" spans="1:5" x14ac:dyDescent="0.25">
      <c r="A71" s="1"/>
      <c r="B71" s="100" t="s">
        <v>243</v>
      </c>
      <c r="C71" s="325">
        <f ca="1">+C69*K59</f>
        <v>634.80994663465276</v>
      </c>
    </row>
    <row r="72" spans="1:5" x14ac:dyDescent="0.25">
      <c r="A72" s="1"/>
      <c r="B72" s="260" t="s">
        <v>244</v>
      </c>
      <c r="C72" s="325">
        <f ca="1">+F61+SUM(H61:K61)</f>
        <v>146.34660536800735</v>
      </c>
    </row>
    <row r="73" spans="1:5" x14ac:dyDescent="0.25">
      <c r="A73" s="7"/>
      <c r="B73" s="326" t="s">
        <v>245</v>
      </c>
      <c r="C73" s="314">
        <f ca="1">+C71+C72</f>
        <v>781.15655200266008</v>
      </c>
    </row>
    <row r="74" spans="1:5" x14ac:dyDescent="0.25">
      <c r="A74" s="1"/>
    </row>
    <row r="75" spans="1:5" x14ac:dyDescent="0.25">
      <c r="A75" s="1"/>
      <c r="B75" s="221" t="s">
        <v>246</v>
      </c>
    </row>
    <row r="76" spans="1:5" x14ac:dyDescent="0.25">
      <c r="A76" s="1"/>
      <c r="B76" t="s">
        <v>247</v>
      </c>
      <c r="C76" s="239">
        <f ca="1">+C14</f>
        <v>123.64861788331017</v>
      </c>
    </row>
    <row r="77" spans="1:5" x14ac:dyDescent="0.25">
      <c r="A77" s="1"/>
      <c r="B77" t="s">
        <v>204</v>
      </c>
      <c r="C77" s="327">
        <f>+C15</f>
        <v>7</v>
      </c>
      <c r="E77" s="321"/>
    </row>
    <row r="78" spans="1:5" x14ac:dyDescent="0.25">
      <c r="A78" s="1"/>
      <c r="B78" t="s">
        <v>248</v>
      </c>
      <c r="C78" s="239">
        <f ca="1">+C77*C76</f>
        <v>865.54032518317115</v>
      </c>
    </row>
    <row r="79" spans="1:5" x14ac:dyDescent="0.25">
      <c r="A79" s="1"/>
      <c r="B79" s="100" t="s">
        <v>243</v>
      </c>
      <c r="C79" s="239">
        <f ca="1">+C78*K59</f>
        <v>632.47821252730489</v>
      </c>
    </row>
    <row r="80" spans="1:5" x14ac:dyDescent="0.25">
      <c r="A80" s="1"/>
      <c r="B80" s="260" t="s">
        <v>249</v>
      </c>
      <c r="C80" s="239">
        <f ca="1">+F61+SUM(H61:K61)</f>
        <v>146.34660536800735</v>
      </c>
    </row>
    <row r="81" spans="1:11" x14ac:dyDescent="0.25">
      <c r="A81" s="7" t="s">
        <v>1</v>
      </c>
      <c r="B81" s="326" t="s">
        <v>245</v>
      </c>
      <c r="C81" s="314">
        <f ca="1">+C79+C80</f>
        <v>778.82481789531221</v>
      </c>
    </row>
    <row r="82" spans="1:11" x14ac:dyDescent="0.25">
      <c r="A82" s="1"/>
    </row>
    <row r="83" spans="1:11" ht="19.5" thickBot="1" x14ac:dyDescent="0.35">
      <c r="A83" s="7" t="s">
        <v>1</v>
      </c>
      <c r="B83" s="67" t="s">
        <v>250</v>
      </c>
      <c r="C83" s="67"/>
      <c r="D83" s="67"/>
      <c r="E83" s="67"/>
      <c r="F83" s="67"/>
      <c r="G83" s="67"/>
      <c r="H83" s="67"/>
      <c r="I83" s="67"/>
      <c r="J83" s="67"/>
      <c r="K83" s="67"/>
    </row>
    <row r="84" spans="1:11" x14ac:dyDescent="0.25">
      <c r="A84" s="1"/>
    </row>
    <row r="85" spans="1:11" x14ac:dyDescent="0.25">
      <c r="A85" s="1"/>
      <c r="B85" t="s">
        <v>110</v>
      </c>
      <c r="C85" s="306">
        <f>+FSM!E56</f>
        <v>0</v>
      </c>
    </row>
    <row r="86" spans="1:11" x14ac:dyDescent="0.25">
      <c r="A86" s="1"/>
      <c r="B86" t="s">
        <v>251</v>
      </c>
      <c r="C86" s="306">
        <f>+FSM!E53</f>
        <v>3.6</v>
      </c>
    </row>
    <row r="87" spans="1:11" x14ac:dyDescent="0.25">
      <c r="A87" s="1"/>
      <c r="B87" t="s">
        <v>252</v>
      </c>
      <c r="C87" s="306">
        <f>+FSM!E60</f>
        <v>0</v>
      </c>
    </row>
    <row r="88" spans="1:11" x14ac:dyDescent="0.25">
      <c r="A88" s="1"/>
      <c r="B88" s="75" t="s">
        <v>253</v>
      </c>
      <c r="C88" s="306">
        <f>-FSM!E41</f>
        <v>-139.9</v>
      </c>
    </row>
    <row r="89" spans="1:11" x14ac:dyDescent="0.25">
      <c r="A89" s="1"/>
      <c r="B89" s="328" t="s">
        <v>254</v>
      </c>
      <c r="C89" s="329">
        <v>11.276999999999999</v>
      </c>
    </row>
    <row r="90" spans="1:11" x14ac:dyDescent="0.25">
      <c r="A90" s="7" t="s">
        <v>1</v>
      </c>
      <c r="B90" s="125" t="s">
        <v>250</v>
      </c>
      <c r="C90" s="241">
        <f>+SUM(C85:C89)</f>
        <v>-125.02300000000001</v>
      </c>
    </row>
    <row r="91" spans="1:11" x14ac:dyDescent="0.25">
      <c r="A91" s="1"/>
      <c r="C91" s="216"/>
    </row>
    <row r="92" spans="1:11" ht="19.5" thickBot="1" x14ac:dyDescent="0.35">
      <c r="A92" s="7" t="s">
        <v>1</v>
      </c>
      <c r="B92" s="67" t="s">
        <v>255</v>
      </c>
      <c r="C92" s="67"/>
      <c r="D92" s="67"/>
      <c r="E92" s="67"/>
      <c r="F92" s="67"/>
      <c r="G92" s="67"/>
      <c r="H92" s="67"/>
      <c r="I92" s="67"/>
      <c r="J92" s="67"/>
      <c r="K92" s="67"/>
    </row>
    <row r="93" spans="1:11" x14ac:dyDescent="0.25">
      <c r="A93" s="1"/>
    </row>
    <row r="94" spans="1:11" x14ac:dyDescent="0.25">
      <c r="A94" s="1"/>
      <c r="B94" t="s">
        <v>200</v>
      </c>
      <c r="E94" s="330">
        <f>C10</f>
        <v>3.88</v>
      </c>
      <c r="F94" s="330"/>
    </row>
    <row r="95" spans="1:11" x14ac:dyDescent="0.25">
      <c r="A95" s="1"/>
      <c r="E95" s="331"/>
      <c r="F95" s="331"/>
    </row>
    <row r="96" spans="1:11" x14ac:dyDescent="0.25">
      <c r="A96" s="1"/>
      <c r="B96" s="125" t="s">
        <v>256</v>
      </c>
      <c r="C96" s="75"/>
      <c r="D96" s="75"/>
    </row>
    <row r="97" spans="1:8" x14ac:dyDescent="0.25">
      <c r="A97" s="1"/>
      <c r="B97" s="332"/>
      <c r="C97" s="333" t="s">
        <v>257</v>
      </c>
      <c r="D97" s="333" t="s">
        <v>258</v>
      </c>
      <c r="E97" s="333" t="s">
        <v>259</v>
      </c>
      <c r="F97" s="334"/>
    </row>
    <row r="98" spans="1:8" x14ac:dyDescent="0.25">
      <c r="A98" s="1"/>
      <c r="B98" s="136" t="s">
        <v>260</v>
      </c>
      <c r="C98" s="335">
        <v>1.341</v>
      </c>
      <c r="D98" s="336">
        <v>6</v>
      </c>
      <c r="E98" s="337">
        <f>+IF(D98&lt;$C$10,C98,0)</f>
        <v>0</v>
      </c>
      <c r="F98" s="337"/>
    </row>
    <row r="99" spans="1:8" x14ac:dyDescent="0.25">
      <c r="A99" s="1"/>
      <c r="B99" s="136" t="s">
        <v>261</v>
      </c>
      <c r="C99" s="338">
        <v>1.03</v>
      </c>
      <c r="D99" s="336">
        <v>6.75</v>
      </c>
      <c r="E99" s="337">
        <f t="shared" ref="E99:E107" si="9">+IF(D99&lt;$C$10,C99,0)</f>
        <v>0</v>
      </c>
      <c r="F99" s="337"/>
    </row>
    <row r="100" spans="1:8" x14ac:dyDescent="0.25">
      <c r="A100" s="1"/>
      <c r="B100" s="136" t="s">
        <v>262</v>
      </c>
      <c r="C100" s="338">
        <v>0.14000000000000001</v>
      </c>
      <c r="D100" s="336">
        <v>11.95</v>
      </c>
      <c r="E100" s="337">
        <f t="shared" si="9"/>
        <v>0</v>
      </c>
      <c r="F100" s="337"/>
    </row>
    <row r="101" spans="1:8" x14ac:dyDescent="0.25">
      <c r="A101" s="7"/>
      <c r="B101" s="136" t="s">
        <v>263</v>
      </c>
      <c r="C101" s="338">
        <f>1.56-0.154</f>
        <v>1.4060000000000001</v>
      </c>
      <c r="D101" s="339">
        <v>14.7</v>
      </c>
      <c r="E101" s="337">
        <f t="shared" si="9"/>
        <v>0</v>
      </c>
      <c r="F101" s="337"/>
    </row>
    <row r="102" spans="1:8" x14ac:dyDescent="0.25">
      <c r="A102" s="1"/>
      <c r="B102" s="136" t="s">
        <v>264</v>
      </c>
      <c r="C102" s="338"/>
      <c r="D102" s="339"/>
      <c r="E102" s="337">
        <f t="shared" si="9"/>
        <v>0</v>
      </c>
      <c r="F102" s="337"/>
    </row>
    <row r="103" spans="1:8" x14ac:dyDescent="0.25">
      <c r="A103" s="7"/>
      <c r="B103" s="136" t="s">
        <v>265</v>
      </c>
      <c r="C103" s="338"/>
      <c r="D103" s="339"/>
      <c r="E103" s="337">
        <f t="shared" si="9"/>
        <v>0</v>
      </c>
      <c r="F103" s="337"/>
    </row>
    <row r="104" spans="1:8" x14ac:dyDescent="0.25">
      <c r="A104" s="1"/>
      <c r="B104" s="136" t="s">
        <v>266</v>
      </c>
      <c r="C104" s="338"/>
      <c r="D104" s="339"/>
      <c r="E104" s="337">
        <f t="shared" si="9"/>
        <v>0</v>
      </c>
      <c r="F104" s="337"/>
    </row>
    <row r="105" spans="1:8" x14ac:dyDescent="0.25">
      <c r="A105" s="1"/>
      <c r="B105" s="136" t="s">
        <v>267</v>
      </c>
      <c r="C105" s="338"/>
      <c r="D105" s="339"/>
      <c r="E105" s="337">
        <f t="shared" si="9"/>
        <v>0</v>
      </c>
      <c r="F105" s="337"/>
    </row>
    <row r="106" spans="1:8" x14ac:dyDescent="0.25">
      <c r="A106" s="1"/>
      <c r="B106" s="136" t="s">
        <v>268</v>
      </c>
      <c r="C106" s="338"/>
      <c r="D106" s="339"/>
      <c r="E106" s="337">
        <f t="shared" si="9"/>
        <v>0</v>
      </c>
      <c r="F106" s="337"/>
    </row>
    <row r="107" spans="1:8" x14ac:dyDescent="0.25">
      <c r="A107" s="1"/>
      <c r="B107" s="136" t="s">
        <v>269</v>
      </c>
      <c r="C107" s="340"/>
      <c r="D107" s="341"/>
      <c r="E107" s="337">
        <f t="shared" si="9"/>
        <v>0</v>
      </c>
      <c r="F107" s="337"/>
    </row>
    <row r="108" spans="1:8" x14ac:dyDescent="0.25">
      <c r="A108" s="1"/>
      <c r="B108" s="342" t="s">
        <v>270</v>
      </c>
      <c r="C108" s="75"/>
      <c r="D108" s="75"/>
      <c r="E108" s="343">
        <f>SUM(E98:E107)</f>
        <v>0</v>
      </c>
      <c r="F108" s="344"/>
    </row>
    <row r="109" spans="1:8" x14ac:dyDescent="0.25">
      <c r="A109" s="1"/>
      <c r="B109" s="345" t="s">
        <v>271</v>
      </c>
      <c r="E109" s="346">
        <f>+SUMPRODUCT(D98:D107,E98:E107)</f>
        <v>0</v>
      </c>
      <c r="F109" s="346"/>
    </row>
    <row r="110" spans="1:8" x14ac:dyDescent="0.25">
      <c r="A110" s="1"/>
      <c r="B110" s="345" t="s">
        <v>272</v>
      </c>
      <c r="E110" s="347">
        <f>+E109/E94</f>
        <v>0</v>
      </c>
      <c r="F110" s="347"/>
    </row>
    <row r="111" spans="1:8" x14ac:dyDescent="0.25">
      <c r="A111" s="1"/>
      <c r="B111" s="345"/>
      <c r="E111" s="337"/>
      <c r="F111" s="337"/>
    </row>
    <row r="112" spans="1:8" x14ac:dyDescent="0.25">
      <c r="A112" s="1"/>
      <c r="B112" s="136" t="s">
        <v>91</v>
      </c>
      <c r="E112" s="338">
        <v>63.768000000000001</v>
      </c>
      <c r="F112" s="348"/>
      <c r="H112" s="349"/>
    </row>
    <row r="113" spans="1:13" x14ac:dyDescent="0.25">
      <c r="A113" s="1"/>
      <c r="B113" s="350" t="s">
        <v>273</v>
      </c>
      <c r="C113" s="40"/>
      <c r="D113" s="40"/>
      <c r="E113" s="351">
        <f>+E108-E110</f>
        <v>0</v>
      </c>
      <c r="F113" s="352"/>
    </row>
    <row r="114" spans="1:13" x14ac:dyDescent="0.25">
      <c r="A114" s="1"/>
      <c r="B114" s="345" t="s">
        <v>274</v>
      </c>
      <c r="C114" s="353"/>
      <c r="D114" s="76"/>
      <c r="E114" s="335"/>
      <c r="F114" s="354"/>
    </row>
    <row r="115" spans="1:13" x14ac:dyDescent="0.25">
      <c r="A115" s="7" t="s">
        <v>1</v>
      </c>
      <c r="B115" s="355" t="s">
        <v>275</v>
      </c>
      <c r="C115" s="75"/>
      <c r="D115" s="75"/>
      <c r="E115" s="356">
        <f>+SUM(E112:E114)</f>
        <v>63.768000000000001</v>
      </c>
      <c r="F115" s="357"/>
    </row>
    <row r="116" spans="1:13" x14ac:dyDescent="0.25">
      <c r="A116" s="1"/>
    </row>
    <row r="117" spans="1:13" ht="19.5" thickBot="1" x14ac:dyDescent="0.35">
      <c r="A117" s="7" t="s">
        <v>1</v>
      </c>
      <c r="B117" s="67" t="s">
        <v>276</v>
      </c>
      <c r="C117" s="67"/>
      <c r="D117" s="67"/>
      <c r="E117" s="67"/>
      <c r="F117" s="67"/>
      <c r="G117" s="67"/>
      <c r="H117" s="67"/>
      <c r="I117" s="67"/>
      <c r="J117" s="67"/>
      <c r="K117" s="67"/>
    </row>
    <row r="118" spans="1:13" x14ac:dyDescent="0.25">
      <c r="A118" s="1"/>
    </row>
    <row r="119" spans="1:13" x14ac:dyDescent="0.25">
      <c r="A119" s="1"/>
      <c r="C119" s="358" t="s">
        <v>277</v>
      </c>
      <c r="D119" s="358" t="s">
        <v>278</v>
      </c>
      <c r="G119" s="90" t="s">
        <v>279</v>
      </c>
      <c r="H119" s="76"/>
      <c r="I119" s="76"/>
      <c r="J119" s="76"/>
      <c r="K119" s="75"/>
    </row>
    <row r="120" spans="1:13" x14ac:dyDescent="0.25">
      <c r="A120" s="1"/>
      <c r="B120" s="221" t="s">
        <v>245</v>
      </c>
      <c r="C120" s="325">
        <f ca="1">+C73</f>
        <v>781.15655200266008</v>
      </c>
      <c r="D120" s="325">
        <f ca="1">+C81</f>
        <v>778.82481789531221</v>
      </c>
      <c r="G120" s="359">
        <f ca="1">+C126</f>
        <v>7.1288977544012679</v>
      </c>
      <c r="H120" s="97">
        <v>0.06</v>
      </c>
      <c r="I120" s="97">
        <v>7.0000000000000007E-2</v>
      </c>
      <c r="J120" s="97">
        <v>0.08</v>
      </c>
      <c r="K120" s="97">
        <v>0.09</v>
      </c>
      <c r="M120" t="s">
        <v>280</v>
      </c>
    </row>
    <row r="121" spans="1:13" x14ac:dyDescent="0.25">
      <c r="B121" t="s">
        <v>250</v>
      </c>
      <c r="C121" s="239">
        <f>+C90</f>
        <v>-125.02300000000001</v>
      </c>
      <c r="D121" s="239">
        <f>+C90</f>
        <v>-125.02300000000001</v>
      </c>
      <c r="G121" s="360">
        <v>0.01</v>
      </c>
      <c r="H121" s="361">
        <f t="dataTable" ref="H121:K124" dt2D="1" dtr="1" r1="C31" r2="C16" ca="1"/>
        <v>12.533738393113525</v>
      </c>
      <c r="I121" s="361">
        <v>9.5191599008521983</v>
      </c>
      <c r="J121" s="361">
        <v>7.3682385669140569</v>
      </c>
      <c r="K121" s="361">
        <v>5.7570182524467901</v>
      </c>
    </row>
    <row r="122" spans="1:13" x14ac:dyDescent="0.25">
      <c r="A122" s="1"/>
      <c r="B122" t="s">
        <v>281</v>
      </c>
      <c r="C122">
        <f>+FSM!E55</f>
        <v>0</v>
      </c>
      <c r="D122">
        <f>+C122</f>
        <v>0</v>
      </c>
      <c r="G122" s="285">
        <v>0.02</v>
      </c>
      <c r="H122" s="361">
        <v>16.524020061940153</v>
      </c>
      <c r="I122" s="361">
        <v>12.113954784897739</v>
      </c>
      <c r="J122" s="361">
        <v>9.1765211072286341</v>
      </c>
      <c r="K122" s="361">
        <v>7.0804987417075367</v>
      </c>
    </row>
    <row r="123" spans="1:13" x14ac:dyDescent="0.25">
      <c r="A123" s="1"/>
      <c r="B123" s="75" t="s">
        <v>282</v>
      </c>
      <c r="C123" s="329">
        <v>-201.53800000000001</v>
      </c>
      <c r="D123" s="325">
        <f>+C123</f>
        <v>-201.53800000000001</v>
      </c>
      <c r="G123" s="285">
        <v>0.03</v>
      </c>
      <c r="H123" s="361">
        <v>23.174489509984525</v>
      </c>
      <c r="I123" s="361">
        <v>16.006147110966058</v>
      </c>
      <c r="J123" s="361">
        <v>11.708116663669038</v>
      </c>
      <c r="K123" s="361">
        <v>8.8451393940551988</v>
      </c>
    </row>
    <row r="124" spans="1:13" x14ac:dyDescent="0.25">
      <c r="A124" s="1"/>
      <c r="B124" s="136" t="s">
        <v>283</v>
      </c>
      <c r="C124" s="329"/>
      <c r="D124" s="325">
        <f>+C124</f>
        <v>0</v>
      </c>
      <c r="G124" s="360">
        <v>0.04</v>
      </c>
      <c r="H124" s="361">
        <v>36.475428406073263</v>
      </c>
      <c r="I124" s="361">
        <v>22.493134321079921</v>
      </c>
      <c r="J124" s="361">
        <v>15.505509998329645</v>
      </c>
      <c r="K124" s="361">
        <v>11.315636307341924</v>
      </c>
    </row>
    <row r="125" spans="1:13" x14ac:dyDescent="0.25">
      <c r="A125" s="7"/>
      <c r="B125" s="137" t="s">
        <v>284</v>
      </c>
      <c r="C125" s="325">
        <f ca="1">SUM(C120:C124)</f>
        <v>454.59555200266004</v>
      </c>
      <c r="D125" s="325">
        <f ca="1">SUM(D120:D124)</f>
        <v>452.26381789531217</v>
      </c>
    </row>
    <row r="126" spans="1:13" x14ac:dyDescent="0.25">
      <c r="A126" s="1"/>
      <c r="B126" s="125" t="s">
        <v>285</v>
      </c>
      <c r="C126" s="362">
        <f ca="1">+C125/E115</f>
        <v>7.1288977544012679</v>
      </c>
      <c r="D126" s="362">
        <f ca="1">+D125/E115</f>
        <v>7.0923318575980456</v>
      </c>
      <c r="G126" s="90" t="s">
        <v>286</v>
      </c>
      <c r="H126" s="76"/>
      <c r="I126" s="76"/>
      <c r="J126" s="76"/>
      <c r="K126" s="76"/>
    </row>
    <row r="127" spans="1:13" x14ac:dyDescent="0.25">
      <c r="A127" s="1"/>
      <c r="B127" s="363" t="s">
        <v>287</v>
      </c>
      <c r="C127" s="364">
        <f ca="1">+(C126-E94)/E94</f>
        <v>0.83734478206218255</v>
      </c>
      <c r="D127" s="364">
        <f ca="1">+(D126-E94)/E94</f>
        <v>0.82792058185516648</v>
      </c>
      <c r="G127" s="359">
        <f ca="1">+D126</f>
        <v>7.0923318575980456</v>
      </c>
      <c r="H127" s="97">
        <v>0.06</v>
      </c>
      <c r="I127" s="97">
        <v>7.0000000000000007E-2</v>
      </c>
      <c r="J127" s="97">
        <v>0.08</v>
      </c>
      <c r="K127" s="97">
        <v>0.09</v>
      </c>
      <c r="M127" t="s">
        <v>288</v>
      </c>
    </row>
    <row r="128" spans="1:13" x14ac:dyDescent="0.25">
      <c r="A128" s="1"/>
      <c r="G128" s="365">
        <v>2</v>
      </c>
      <c r="H128" s="361">
        <f t="dataTable" ref="H128:K131" dt2D="1" dtr="1" r1="C31" r2="C15" ca="1"/>
        <v>0.46046025555676612</v>
      </c>
      <c r="I128" s="361">
        <v>0.30202084986747962</v>
      </c>
      <c r="J128" s="361">
        <v>0.14993821317984599</v>
      </c>
      <c r="K128" s="361">
        <v>3.8965334526048345E-3</v>
      </c>
    </row>
    <row r="129" spans="1:11" x14ac:dyDescent="0.25">
      <c r="A129" s="1"/>
      <c r="G129" s="366">
        <v>3</v>
      </c>
      <c r="H129" s="361">
        <v>2.0279428575611944</v>
      </c>
      <c r="I129" s="361">
        <v>1.8166822423330637</v>
      </c>
      <c r="J129" s="361">
        <v>1.6140251633064093</v>
      </c>
      <c r="K129" s="361">
        <v>1.4195407469249959</v>
      </c>
    </row>
    <row r="130" spans="1:11" x14ac:dyDescent="0.25">
      <c r="A130" s="1"/>
      <c r="G130" s="366">
        <v>4</v>
      </c>
      <c r="H130" s="361">
        <v>3.5954254595656217</v>
      </c>
      <c r="I130" s="361">
        <v>3.3313436347986478</v>
      </c>
      <c r="J130" s="361">
        <v>3.0781121134329719</v>
      </c>
      <c r="K130" s="361">
        <v>2.8351849603973887</v>
      </c>
    </row>
    <row r="131" spans="1:11" x14ac:dyDescent="0.25">
      <c r="A131" s="7" t="s">
        <v>1</v>
      </c>
      <c r="G131" s="366">
        <v>5</v>
      </c>
      <c r="H131" s="361">
        <v>5.1629080615700484</v>
      </c>
      <c r="I131" s="361">
        <v>4.8460050272642308</v>
      </c>
      <c r="J131" s="361">
        <v>4.5421990635595337</v>
      </c>
      <c r="K131" s="361">
        <v>4.2508291738697803</v>
      </c>
    </row>
    <row r="132" spans="1:11" x14ac:dyDescent="0.25">
      <c r="A132" s="1"/>
    </row>
    <row r="133" spans="1:11" x14ac:dyDescent="0.25">
      <c r="A133" s="1"/>
      <c r="B133" s="90" t="s">
        <v>289</v>
      </c>
      <c r="C133" s="137"/>
      <c r="D133" s="137"/>
      <c r="E133" s="367"/>
      <c r="F133" s="367"/>
      <c r="G133" s="367"/>
      <c r="H133" s="367"/>
      <c r="I133" s="367"/>
      <c r="J133" s="367"/>
      <c r="K133" s="368"/>
    </row>
    <row r="134" spans="1:11" x14ac:dyDescent="0.25">
      <c r="A134" s="1"/>
      <c r="B134" s="369"/>
      <c r="C134" s="370"/>
      <c r="G134" s="222"/>
      <c r="H134" s="222"/>
      <c r="I134" s="222"/>
      <c r="J134" s="222"/>
      <c r="K134" s="222"/>
    </row>
    <row r="135" spans="1:11" x14ac:dyDescent="0.25">
      <c r="A135" s="1"/>
      <c r="C135" s="371" t="s">
        <v>290</v>
      </c>
      <c r="D135" s="371" t="s">
        <v>291</v>
      </c>
      <c r="E135" s="371" t="s">
        <v>292</v>
      </c>
      <c r="F135" s="371" t="s">
        <v>293</v>
      </c>
      <c r="G135" s="372" t="s">
        <v>294</v>
      </c>
      <c r="H135" s="372" t="s">
        <v>295</v>
      </c>
      <c r="I135" s="372" t="s">
        <v>296</v>
      </c>
      <c r="J135" s="372" t="s">
        <v>297</v>
      </c>
      <c r="K135" s="373"/>
    </row>
    <row r="136" spans="1:11" x14ac:dyDescent="0.25">
      <c r="A136" s="1"/>
      <c r="B136" t="s">
        <v>298</v>
      </c>
      <c r="C136" s="374"/>
      <c r="D136" s="375"/>
      <c r="E136" s="203"/>
      <c r="F136" s="239">
        <f t="shared" ref="F136:F141" si="10">+E136*D136</f>
        <v>0</v>
      </c>
      <c r="G136" s="203"/>
      <c r="H136" s="203"/>
      <c r="I136" s="285"/>
      <c r="J136" s="376" t="str">
        <f t="shared" ref="J136:J141" si="11">IF(F136=0,"N/A",(C136/(1+((1-I136)*((H136-G136)/F136)))))</f>
        <v>N/A</v>
      </c>
      <c r="K136" s="373"/>
    </row>
    <row r="137" spans="1:11" x14ac:dyDescent="0.25">
      <c r="A137" s="1"/>
      <c r="B137" t="s">
        <v>299</v>
      </c>
      <c r="C137" s="374"/>
      <c r="D137" s="375"/>
      <c r="E137" s="203"/>
      <c r="F137" s="239">
        <f t="shared" si="10"/>
        <v>0</v>
      </c>
      <c r="G137" s="203"/>
      <c r="H137" s="203"/>
      <c r="I137" s="285"/>
      <c r="J137" s="376" t="str">
        <f t="shared" si="11"/>
        <v>N/A</v>
      </c>
      <c r="K137" s="373"/>
    </row>
    <row r="138" spans="1:11" x14ac:dyDescent="0.25">
      <c r="A138" s="1"/>
      <c r="B138" t="s">
        <v>300</v>
      </c>
      <c r="C138" s="374"/>
      <c r="D138" s="375"/>
      <c r="E138" s="203"/>
      <c r="F138" s="239">
        <f t="shared" si="10"/>
        <v>0</v>
      </c>
      <c r="G138" s="203"/>
      <c r="H138" s="203"/>
      <c r="I138" s="285"/>
      <c r="J138" s="376" t="str">
        <f t="shared" si="11"/>
        <v>N/A</v>
      </c>
      <c r="K138" s="373"/>
    </row>
    <row r="139" spans="1:11" x14ac:dyDescent="0.25">
      <c r="A139" s="1"/>
      <c r="B139" t="s">
        <v>301</v>
      </c>
      <c r="C139" s="374"/>
      <c r="D139" s="375"/>
      <c r="E139" s="203"/>
      <c r="F139" s="239">
        <f t="shared" si="10"/>
        <v>0</v>
      </c>
      <c r="G139" s="203"/>
      <c r="H139" s="203"/>
      <c r="I139" s="285"/>
      <c r="J139" s="376" t="str">
        <f t="shared" si="11"/>
        <v>N/A</v>
      </c>
      <c r="K139" s="373"/>
    </row>
    <row r="140" spans="1:11" x14ac:dyDescent="0.25">
      <c r="A140" s="1"/>
      <c r="C140" s="374"/>
      <c r="D140" s="375"/>
      <c r="E140" s="203"/>
      <c r="F140" s="239">
        <f t="shared" si="10"/>
        <v>0</v>
      </c>
      <c r="G140" s="203"/>
      <c r="H140" s="203"/>
      <c r="I140" s="285"/>
      <c r="J140" s="376" t="str">
        <f t="shared" si="11"/>
        <v>N/A</v>
      </c>
      <c r="K140" s="373"/>
    </row>
    <row r="141" spans="1:11" x14ac:dyDescent="0.25">
      <c r="A141" s="1"/>
      <c r="B141" t="s">
        <v>298</v>
      </c>
      <c r="C141" s="374"/>
      <c r="D141" s="375"/>
      <c r="E141" s="203"/>
      <c r="F141" s="239">
        <f t="shared" si="10"/>
        <v>0</v>
      </c>
      <c r="G141" s="203"/>
      <c r="H141" s="203"/>
      <c r="I141" s="285"/>
      <c r="J141" s="376" t="str">
        <f t="shared" si="11"/>
        <v>N/A</v>
      </c>
      <c r="K141" s="373"/>
    </row>
    <row r="142" spans="1:11" x14ac:dyDescent="0.25">
      <c r="A142" s="1"/>
    </row>
    <row r="143" spans="1:11" x14ac:dyDescent="0.25">
      <c r="A143" s="1"/>
      <c r="B143" t="s">
        <v>302</v>
      </c>
      <c r="C143" s="376" t="e">
        <f>+AVERAGE(J136:J141)</f>
        <v>#DIV/0!</v>
      </c>
    </row>
    <row r="144" spans="1:11" x14ac:dyDescent="0.25">
      <c r="A144" s="1"/>
      <c r="B144" t="s">
        <v>303</v>
      </c>
      <c r="C144" s="376" t="e">
        <f>+C143*(1+((1-I141)*((H141-G141)/F141)))</f>
        <v>#DIV/0!</v>
      </c>
    </row>
    <row r="145" spans="1:1" x14ac:dyDescent="0.25">
      <c r="A145" s="7"/>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7"/>
    </row>
    <row r="162" spans="1:1" x14ac:dyDescent="0.25">
      <c r="A162" s="1"/>
    </row>
    <row r="163" spans="1:1" x14ac:dyDescent="0.25">
      <c r="A163" s="7"/>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7"/>
    </row>
  </sheetData>
  <sheetProtection algorithmName="SHA-512" hashValue="TJ5OuR2w5Gj3g8aVf+PoE1v5m27JFG0akuC6IdAVnuOWZ+JVBu3oF0xGvc1zVdmIl0XEJ0U7ChRTXI93PouxdA==" saltValue="t8ZE1gxdlbfqGizn1BA6Kw==" spinCount="100000" sheet="1" objects="1" scenarios="1"/>
  <dataConsolidate/>
  <dataValidations count="4">
    <dataValidation type="list" allowBlank="1" showInputMessage="1" showErrorMessage="1" sqref="C31">
      <formula1>$C$29:$C$30</formula1>
    </dataValidation>
    <dataValidation type="list" allowBlank="1" showInputMessage="1" showErrorMessage="1" sqref="E24">
      <formula1>"Observed  β,Industry  β"</formula1>
    </dataValidation>
    <dataValidation type="list" allowBlank="1" showInputMessage="1" showErrorMessage="1" sqref="E26">
      <formula1>"wacc &lt; g,wacc &gt; g"</formula1>
    </dataValidation>
    <dataValidation type="list" allowBlank="1" showInputMessage="1" showErrorMessage="1" sqref="C59">
      <formula1>"End of Period,Mid of Period"</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Sheet</vt:lpstr>
      <vt:lpstr>Assumptions</vt:lpstr>
      <vt:lpstr>FSM</vt:lpstr>
      <vt:lpstr>DCF with Stub &amp; Mid Year</vt:lpstr>
      <vt:lpstr>circ</vt:lpstr>
      <vt:lpstr>'DCF with Stub &amp; Mid Year'!wacc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Galindo</dc:creator>
  <cp:lastModifiedBy>Stephanie Haddad</cp:lastModifiedBy>
  <dcterms:created xsi:type="dcterms:W3CDTF">2015-12-10T14:07:08Z</dcterms:created>
  <dcterms:modified xsi:type="dcterms:W3CDTF">2015-12-11T21:34:55Z</dcterms:modified>
</cp:coreProperties>
</file>