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ura\Google Drive\M&amp;A Pitch Book\"/>
    </mc:Choice>
  </mc:AlternateContent>
  <bookViews>
    <workbookView xWindow="0" yWindow="0" windowWidth="25605" windowHeight="16005" tabRatio="884" activeTab="5"/>
  </bookViews>
  <sheets>
    <sheet name="Football Field" sheetId="51" r:id="rId1"/>
    <sheet name="WACC" sheetId="16" r:id="rId2"/>
    <sheet name="Cost of Debt" sheetId="18" r:id="rId3"/>
    <sheet name="Cost of Equity" sheetId="32" r:id="rId4"/>
    <sheet name="DCF Analysis " sheetId="21" r:id="rId5"/>
    <sheet name="Scenarios " sheetId="22" r:id="rId6"/>
    <sheet name="Dropdown" sheetId="33" state="hidden" r:id="rId7"/>
    <sheet name="Change in NWC" sheetId="14" r:id="rId8"/>
    <sheet name="Income Statement" sheetId="5" r:id="rId9"/>
    <sheet name="Balance Sheet" sheetId="6" r:id="rId10"/>
    <sheet name="Cash Flow Statement" sheetId="7" r:id="rId11"/>
    <sheet name="Patent Valuation" sheetId="52" r:id="rId12"/>
    <sheet name="APV" sheetId="17" r:id="rId13"/>
    <sheet name="Comparable Transactions" sheetId="50" r:id="rId14"/>
    <sheet name="Comparable Company Valuation" sheetId="23" r:id="rId15"/>
    <sheet name="Daimler" sheetId="24" r:id="rId16"/>
    <sheet name="Regression Daimler" sheetId="34" r:id="rId17"/>
    <sheet name="Paccar" sheetId="25" r:id="rId18"/>
    <sheet name="Regression Paccar" sheetId="36" r:id="rId19"/>
    <sheet name="Oshkosh" sheetId="26" r:id="rId20"/>
    <sheet name="Oshkosh Regression" sheetId="42" r:id="rId21"/>
    <sheet name="Scania" sheetId="27" r:id="rId22"/>
    <sheet name="Scania Regression" sheetId="47" r:id="rId23"/>
    <sheet name="Navistar" sheetId="31" r:id="rId24"/>
    <sheet name="Dongfeng" sheetId="28" r:id="rId25"/>
    <sheet name="Dongfeng Regression" sheetId="46" r:id="rId26"/>
    <sheet name="Deutz" sheetId="29" r:id="rId27"/>
    <sheet name="Deutz Regression" sheetId="37" r:id="rId28"/>
    <sheet name="Dürr" sheetId="30" r:id="rId29"/>
    <sheet name="Dürr Regression" sheetId="39" r:id="rId30"/>
  </sheets>
  <externalReferences>
    <externalReference r:id="rId31"/>
    <externalReference r:id="rId32"/>
  </externalReferences>
  <definedNames>
    <definedName name="AdjLogReturns" localSheetId="7">#REF!</definedName>
    <definedName name="AdjLogReturns" localSheetId="14">'[1]Stock Data'!$K$3:$K$2657</definedName>
    <definedName name="AdjLogReturns" localSheetId="15">#REF!</definedName>
    <definedName name="AdjLogReturns" localSheetId="4">#REF!</definedName>
    <definedName name="AdjLogReturns" localSheetId="0">#REF!</definedName>
    <definedName name="AdjLogReturns" localSheetId="19">#REF!</definedName>
    <definedName name="AdjLogReturns" localSheetId="17">#REF!</definedName>
    <definedName name="AdjLogReturns" localSheetId="5">#REF!</definedName>
    <definedName name="AdjLogReturns">'[2]Stock Data'!$K$3:$K$2657</definedName>
    <definedName name="AdjPrice" localSheetId="12">#REF!</definedName>
    <definedName name="AdjPrice" localSheetId="2">#REF!</definedName>
    <definedName name="AdjPrice" localSheetId="3">#REF!</definedName>
    <definedName name="AdjPrice" localSheetId="1">#REF!</definedName>
    <definedName name="AdjPrice">#REF!</definedName>
    <definedName name="AdjReturns" localSheetId="12">#REF!</definedName>
    <definedName name="AdjReturns" localSheetId="2">#REF!</definedName>
    <definedName name="AdjReturns" localSheetId="3">#REF!</definedName>
    <definedName name="AdjReturns" localSheetId="1">#REF!</definedName>
    <definedName name="AdjReturns">#REF!</definedName>
    <definedName name="Date" localSheetId="12">#REF!</definedName>
    <definedName name="Date" localSheetId="2">#REF!</definedName>
    <definedName name="Date" localSheetId="3">#REF!</definedName>
    <definedName name="Date" localSheetId="1">#REF!</definedName>
    <definedName name="Date">#REF!</definedName>
    <definedName name="Ounce">31.1034768</definedName>
    <definedName name="Pound">453.59237</definedName>
    <definedName name="Pound2">2.2046</definedName>
    <definedName name="Price" localSheetId="12">#REF!</definedName>
    <definedName name="Price" localSheetId="2">#REF!</definedName>
    <definedName name="Price" localSheetId="3">#REF!</definedName>
    <definedName name="Price" localSheetId="1">#REF!</definedName>
    <definedName name="Price">#REF!</definedName>
    <definedName name="_xlnm.Print_Area" localSheetId="9">'Balance Sheet'!$A$1:$G$71</definedName>
    <definedName name="_xlnm.Print_Area" localSheetId="10">'Cash Flow Statement'!$A$1:$G$69</definedName>
    <definedName name="_xlnm.Print_Area" localSheetId="15">Daimler!$A$1:$R$59</definedName>
    <definedName name="_xlnm.Print_Area" localSheetId="4">'DCF Analysis '!$A$1:$L$58</definedName>
    <definedName name="_xlnm.Print_Area" localSheetId="8">'Income Statement'!$A$3:$F$41</definedName>
    <definedName name="_xlnm.Print_Area" localSheetId="19">Oshkosh!$A$1:$R$59</definedName>
    <definedName name="_xlnm.Print_Area" localSheetId="17">Paccar!$A$1:$R$59</definedName>
    <definedName name="_xlnm.Print_Area" localSheetId="11">'Patent Valuation'!$A$33:$F$47</definedName>
    <definedName name="_xlnm.Print_Area" localSheetId="1">WACC!$A$1:$H$15</definedName>
    <definedName name="Returns" localSheetId="12">#REF!</definedName>
    <definedName name="Returns" localSheetId="2">#REF!</definedName>
    <definedName name="Returns" localSheetId="3">#REF!</definedName>
    <definedName name="Returns" localSheetId="1">#REF!</definedName>
    <definedName name="Returns">#REF!</definedName>
    <definedName name="solver_adj" localSheetId="2" hidden="1">'Cost of Debt'!#REF!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ng" localSheetId="18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eg" localSheetId="18" hidden="1">1</definedName>
    <definedName name="solver_nod" localSheetId="2" hidden="1">2147483647</definedName>
    <definedName name="solver_num" localSheetId="2" hidden="1">0</definedName>
    <definedName name="solver_num" localSheetId="18" hidden="1">0</definedName>
    <definedName name="solver_nwt" localSheetId="2" hidden="1">1</definedName>
    <definedName name="solver_opt" localSheetId="2" hidden="1">'Cost of Debt'!#REF!</definedName>
    <definedName name="solver_opt" localSheetId="18" hidden="1">'Regression Paccar'!$E$9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3</definedName>
    <definedName name="solver_typ" localSheetId="18" hidden="1">1</definedName>
    <definedName name="solver_val" localSheetId="2" hidden="1">1500000000</definedName>
    <definedName name="solver_val" localSheetId="18" hidden="1">0</definedName>
    <definedName name="solver_ver" localSheetId="2" hidden="1">3</definedName>
    <definedName name="solver_ver" localSheetId="18" hidden="1">3</definedName>
    <definedName name="Volume" localSheetId="12">#REF!</definedName>
    <definedName name="Volume" localSheetId="2">#REF!</definedName>
    <definedName name="Volume" localSheetId="3">#REF!</definedName>
    <definedName name="Volume" localSheetId="1">#REF!</definedName>
    <definedName name="Volume">#REF!</definedName>
  </definedNames>
  <calcPr calcId="152511" iterateDelta="9.9999999999994451E-4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6" i="21" l="1"/>
  <c r="C38" i="52" l="1"/>
  <c r="B2" i="21"/>
  <c r="F36" i="52"/>
  <c r="I8" i="32"/>
  <c r="E10" i="5"/>
  <c r="E25" i="5" s="1"/>
  <c r="E13" i="5" s="1"/>
  <c r="E7" i="21" s="1"/>
  <c r="E54" i="22" s="1"/>
  <c r="D10" i="5"/>
  <c r="D25" i="5" s="1"/>
  <c r="C10" i="5"/>
  <c r="C11" i="5" s="1"/>
  <c r="B10" i="5"/>
  <c r="H5" i="16"/>
  <c r="H3" i="16"/>
  <c r="G5" i="16"/>
  <c r="G3" i="16"/>
  <c r="G10" i="16" s="1"/>
  <c r="C5" i="16"/>
  <c r="C3" i="16"/>
  <c r="D5" i="16"/>
  <c r="K4" i="16"/>
  <c r="D3" i="16" s="1"/>
  <c r="F5" i="16"/>
  <c r="K6" i="16"/>
  <c r="F3" i="16" s="1"/>
  <c r="F10" i="16" s="1"/>
  <c r="H10" i="16"/>
  <c r="E5" i="16"/>
  <c r="K5" i="16"/>
  <c r="E3" i="16" s="1"/>
  <c r="E10" i="16" s="1"/>
  <c r="F9" i="5"/>
  <c r="R32" i="22"/>
  <c r="R56" i="22" s="1"/>
  <c r="S32" i="22"/>
  <c r="T32" i="22"/>
  <c r="U32" i="22"/>
  <c r="G64" i="7"/>
  <c r="G55" i="7"/>
  <c r="G53" i="7"/>
  <c r="G52" i="7"/>
  <c r="G51" i="7"/>
  <c r="G50" i="7"/>
  <c r="G49" i="7"/>
  <c r="G41" i="7"/>
  <c r="G40" i="7"/>
  <c r="G39" i="7"/>
  <c r="G38" i="7"/>
  <c r="G37" i="7"/>
  <c r="G36" i="7"/>
  <c r="G35" i="7"/>
  <c r="G34" i="7"/>
  <c r="G26" i="7"/>
  <c r="G25" i="7"/>
  <c r="G24" i="7"/>
  <c r="G23" i="7"/>
  <c r="G22" i="7"/>
  <c r="G21" i="7"/>
  <c r="G20" i="7"/>
  <c r="G19" i="7"/>
  <c r="G15" i="7"/>
  <c r="G14" i="7"/>
  <c r="G13" i="7"/>
  <c r="G10" i="7"/>
  <c r="G9" i="7"/>
  <c r="G8" i="7"/>
  <c r="G7" i="7"/>
  <c r="F33" i="5"/>
  <c r="F28" i="5"/>
  <c r="F19" i="5"/>
  <c r="F18" i="5"/>
  <c r="F17" i="5"/>
  <c r="F16" i="5"/>
  <c r="F8" i="5"/>
  <c r="G3" i="14" s="1"/>
  <c r="G30" i="14" s="1"/>
  <c r="I30" i="14" s="1"/>
  <c r="J30" i="14" s="1"/>
  <c r="K30" i="14" s="1"/>
  <c r="L30" i="14" s="1"/>
  <c r="H25" i="5"/>
  <c r="I25" i="5"/>
  <c r="B25" i="5"/>
  <c r="B26" i="5" s="1"/>
  <c r="I16" i="17"/>
  <c r="I13" i="32"/>
  <c r="B6" i="32"/>
  <c r="H3" i="18"/>
  <c r="H10" i="18" s="1"/>
  <c r="N3" i="18" s="1"/>
  <c r="M3" i="18"/>
  <c r="C3" i="18"/>
  <c r="B3" i="18"/>
  <c r="D3" i="18"/>
  <c r="C4" i="18"/>
  <c r="D4" i="18" s="1"/>
  <c r="B4" i="18"/>
  <c r="C5" i="18"/>
  <c r="B5" i="18"/>
  <c r="C6" i="18"/>
  <c r="B6" i="18"/>
  <c r="D6" i="18"/>
  <c r="C7" i="18"/>
  <c r="B7" i="18"/>
  <c r="D7" i="18"/>
  <c r="L3" i="18"/>
  <c r="F33" i="21"/>
  <c r="Q48" i="21" s="1"/>
  <c r="C47" i="7"/>
  <c r="F17" i="7"/>
  <c r="F31" i="7" s="1"/>
  <c r="F68" i="7" s="1"/>
  <c r="E17" i="7"/>
  <c r="E31" i="7" s="1"/>
  <c r="E68" i="7" s="1"/>
  <c r="D17" i="7"/>
  <c r="D31" i="7" s="1"/>
  <c r="C17" i="7"/>
  <c r="C31" i="7" s="1"/>
  <c r="F9" i="21"/>
  <c r="F8" i="22" s="1"/>
  <c r="F13" i="22" s="1"/>
  <c r="G10" i="14"/>
  <c r="G14" i="14"/>
  <c r="H14" i="14" s="1"/>
  <c r="G17" i="14"/>
  <c r="G18" i="14"/>
  <c r="C62" i="7"/>
  <c r="D15" i="6"/>
  <c r="C15" i="6"/>
  <c r="C9" i="21"/>
  <c r="C8" i="22" s="1"/>
  <c r="C13" i="22" s="1"/>
  <c r="D47" i="7"/>
  <c r="E47" i="7"/>
  <c r="F47" i="7"/>
  <c r="J62" i="7"/>
  <c r="I62" i="7"/>
  <c r="J47" i="7"/>
  <c r="I47" i="7"/>
  <c r="J31" i="7"/>
  <c r="I31" i="7"/>
  <c r="I10" i="5"/>
  <c r="G68" i="6"/>
  <c r="G70" i="6" s="1"/>
  <c r="G56" i="6"/>
  <c r="G45" i="6"/>
  <c r="F30" i="21" s="1"/>
  <c r="Q45" i="21" s="1"/>
  <c r="G31" i="6"/>
  <c r="G15" i="6"/>
  <c r="G21" i="6"/>
  <c r="E14" i="52"/>
  <c r="F37" i="52"/>
  <c r="E16" i="52"/>
  <c r="B18" i="52" s="1"/>
  <c r="F38" i="52"/>
  <c r="C41" i="52" s="1"/>
  <c r="C44" i="52" s="1"/>
  <c r="C45" i="52" s="1"/>
  <c r="B4" i="17"/>
  <c r="E4" i="17"/>
  <c r="F4" i="17"/>
  <c r="G4" i="17"/>
  <c r="H4" i="17"/>
  <c r="I4" i="17"/>
  <c r="D4" i="17"/>
  <c r="C8" i="27"/>
  <c r="B11" i="17"/>
  <c r="O24" i="27"/>
  <c r="O28" i="27" s="1"/>
  <c r="B13" i="17"/>
  <c r="L3" i="17"/>
  <c r="N3" i="17"/>
  <c r="M3" i="17"/>
  <c r="O3" i="17"/>
  <c r="B15" i="17" s="1"/>
  <c r="D8" i="24"/>
  <c r="C11" i="17" s="1"/>
  <c r="Q25" i="24"/>
  <c r="Q28" i="24"/>
  <c r="Q29" i="24"/>
  <c r="C13" i="17"/>
  <c r="L4" i="17"/>
  <c r="M4" i="17"/>
  <c r="O4" i="17" s="1"/>
  <c r="D8" i="25"/>
  <c r="D11" i="17"/>
  <c r="Q23" i="25"/>
  <c r="Q25" i="25" s="1"/>
  <c r="Q29" i="25" s="1"/>
  <c r="Q24" i="25"/>
  <c r="D13" i="17"/>
  <c r="L5" i="17"/>
  <c r="D15" i="17" s="1"/>
  <c r="M5" i="17"/>
  <c r="O5" i="17"/>
  <c r="D8" i="26"/>
  <c r="E11" i="17"/>
  <c r="Q23" i="26"/>
  <c r="Q25" i="26" s="1"/>
  <c r="Q28" i="26"/>
  <c r="Q29" i="26"/>
  <c r="D20" i="26" s="1"/>
  <c r="E13" i="17"/>
  <c r="L6" i="17"/>
  <c r="M6" i="17"/>
  <c r="O6" i="17" s="1"/>
  <c r="L7" i="17"/>
  <c r="N7" i="17"/>
  <c r="D18" i="28"/>
  <c r="D8" i="30"/>
  <c r="G11" i="17" s="1"/>
  <c r="Q22" i="30"/>
  <c r="Q23" i="30"/>
  <c r="Q24" i="30"/>
  <c r="Q28" i="30"/>
  <c r="G13" i="17"/>
  <c r="L8" i="17"/>
  <c r="N8" i="17"/>
  <c r="M8" i="17"/>
  <c r="D8" i="29"/>
  <c r="H11" i="17" s="1"/>
  <c r="Q22" i="29"/>
  <c r="Q24" i="29"/>
  <c r="Q25" i="29"/>
  <c r="Q29" i="29" s="1"/>
  <c r="Q28" i="29"/>
  <c r="H13" i="17"/>
  <c r="L9" i="17"/>
  <c r="N9" i="17"/>
  <c r="M9" i="17"/>
  <c r="O9" i="17"/>
  <c r="H15" i="17"/>
  <c r="B8" i="17"/>
  <c r="C8" i="17"/>
  <c r="D8" i="17"/>
  <c r="E8" i="17"/>
  <c r="F8" i="17"/>
  <c r="G8" i="17"/>
  <c r="H8" i="17"/>
  <c r="I8" i="17"/>
  <c r="F14" i="22"/>
  <c r="D19" i="25"/>
  <c r="D23" i="25"/>
  <c r="J33" i="25"/>
  <c r="J5" i="25"/>
  <c r="J7" i="25"/>
  <c r="J8" i="25"/>
  <c r="D19" i="26"/>
  <c r="J33" i="26"/>
  <c r="J34" i="26" s="1"/>
  <c r="J5" i="26"/>
  <c r="J8" i="26" s="1"/>
  <c r="J7" i="26"/>
  <c r="C19" i="27"/>
  <c r="C24" i="27" s="1"/>
  <c r="C20" i="27"/>
  <c r="C23" i="27"/>
  <c r="I5" i="27"/>
  <c r="I8" i="27"/>
  <c r="I27" i="27" s="1"/>
  <c r="I30" i="27" s="1"/>
  <c r="I34" i="27" s="1"/>
  <c r="C30" i="27" s="1"/>
  <c r="H8" i="23" s="1"/>
  <c r="I33" i="27"/>
  <c r="Q25" i="28"/>
  <c r="Q29" i="28" s="1"/>
  <c r="D20" i="28" s="1"/>
  <c r="D23" i="28"/>
  <c r="J5" i="28"/>
  <c r="J9" i="28" s="1"/>
  <c r="J7" i="28"/>
  <c r="D18" i="31"/>
  <c r="D19" i="31"/>
  <c r="Q25" i="31"/>
  <c r="Q29" i="31"/>
  <c r="D20" i="31" s="1"/>
  <c r="D24" i="31" s="1"/>
  <c r="D31" i="31" s="1"/>
  <c r="H10" i="23" s="1"/>
  <c r="D22" i="31"/>
  <c r="D23" i="31"/>
  <c r="J5" i="31"/>
  <c r="J8" i="31"/>
  <c r="D19" i="29"/>
  <c r="J5" i="29"/>
  <c r="J6" i="29"/>
  <c r="J7" i="29"/>
  <c r="J8" i="29"/>
  <c r="D19" i="30"/>
  <c r="J6" i="30"/>
  <c r="J7" i="30"/>
  <c r="J8" i="30"/>
  <c r="G8" i="14"/>
  <c r="G7" i="14" s="1"/>
  <c r="G9" i="14"/>
  <c r="G11" i="14"/>
  <c r="G13" i="14"/>
  <c r="G15" i="14"/>
  <c r="G16" i="14"/>
  <c r="D19" i="24"/>
  <c r="J5" i="24"/>
  <c r="J8" i="24"/>
  <c r="Q3" i="24"/>
  <c r="D44" i="21"/>
  <c r="C44" i="21" s="1"/>
  <c r="B44" i="21" s="1"/>
  <c r="F32" i="21"/>
  <c r="Q47" i="21" s="1"/>
  <c r="C45" i="6"/>
  <c r="C78" i="6" s="1"/>
  <c r="D45" i="6"/>
  <c r="D79" i="6" s="1"/>
  <c r="E15" i="6"/>
  <c r="E45" i="6"/>
  <c r="F15" i="6"/>
  <c r="F45" i="6"/>
  <c r="C80" i="6"/>
  <c r="D80" i="6"/>
  <c r="E80" i="6"/>
  <c r="C8" i="14"/>
  <c r="C9" i="14"/>
  <c r="H9" i="14" s="1"/>
  <c r="C10" i="14"/>
  <c r="C27" i="14" s="1"/>
  <c r="C11" i="14"/>
  <c r="C32" i="14" s="1"/>
  <c r="C13" i="14"/>
  <c r="C14" i="14"/>
  <c r="C15" i="14"/>
  <c r="C35" i="14" s="1"/>
  <c r="C16" i="14"/>
  <c r="C17" i="14"/>
  <c r="C18" i="14"/>
  <c r="C38" i="14" s="1"/>
  <c r="D8" i="14"/>
  <c r="D9" i="14"/>
  <c r="D7" i="14" s="1"/>
  <c r="D10" i="14"/>
  <c r="D11" i="14"/>
  <c r="D13" i="14"/>
  <c r="D14" i="14"/>
  <c r="D15" i="14"/>
  <c r="D16" i="14"/>
  <c r="D17" i="14"/>
  <c r="D18" i="14"/>
  <c r="E8" i="14"/>
  <c r="E9" i="14"/>
  <c r="E10" i="14"/>
  <c r="E11" i="14"/>
  <c r="E13" i="14"/>
  <c r="E14" i="14"/>
  <c r="E15" i="14"/>
  <c r="E16" i="14"/>
  <c r="E17" i="14"/>
  <c r="E18" i="14"/>
  <c r="F8" i="14"/>
  <c r="F9" i="14"/>
  <c r="F10" i="14"/>
  <c r="F11" i="14"/>
  <c r="F13" i="14"/>
  <c r="F14" i="14"/>
  <c r="F15" i="14"/>
  <c r="F16" i="14"/>
  <c r="F17" i="14"/>
  <c r="F18" i="14"/>
  <c r="C84" i="6"/>
  <c r="C85" i="6"/>
  <c r="C25" i="14" s="1"/>
  <c r="D85" i="6"/>
  <c r="D25" i="14" s="1"/>
  <c r="E85" i="6"/>
  <c r="F85" i="6"/>
  <c r="F25" i="14" s="1"/>
  <c r="C86" i="6"/>
  <c r="C26" i="14" s="1"/>
  <c r="D86" i="6"/>
  <c r="D26" i="14" s="1"/>
  <c r="E86" i="6"/>
  <c r="F86" i="6"/>
  <c r="F26" i="14" s="1"/>
  <c r="C87" i="6"/>
  <c r="D87" i="6"/>
  <c r="E87" i="6"/>
  <c r="F87" i="6"/>
  <c r="C88" i="6"/>
  <c r="D88" i="6"/>
  <c r="E88" i="6"/>
  <c r="F88" i="6"/>
  <c r="J30" i="26"/>
  <c r="I23" i="50"/>
  <c r="I24" i="50"/>
  <c r="A3" i="51"/>
  <c r="A15" i="51" s="1"/>
  <c r="A7" i="51"/>
  <c r="A17" i="51" s="1"/>
  <c r="A10" i="51"/>
  <c r="A18" i="51" s="1"/>
  <c r="B15" i="51"/>
  <c r="B17" i="51"/>
  <c r="B18" i="51"/>
  <c r="G33" i="27"/>
  <c r="H33" i="27"/>
  <c r="G5" i="27"/>
  <c r="G8" i="27"/>
  <c r="G10" i="27" s="1"/>
  <c r="G9" i="27"/>
  <c r="G14" i="27" s="1"/>
  <c r="G18" i="27" s="1"/>
  <c r="H5" i="27"/>
  <c r="H8" i="27"/>
  <c r="H9" i="27"/>
  <c r="I9" i="27"/>
  <c r="I14" i="27"/>
  <c r="I18" i="27" s="1"/>
  <c r="N3" i="32"/>
  <c r="I10" i="27"/>
  <c r="N24" i="27"/>
  <c r="N28" i="27"/>
  <c r="N33" i="27"/>
  <c r="E30" i="22"/>
  <c r="C5" i="14"/>
  <c r="C3" i="14"/>
  <c r="I280" i="32"/>
  <c r="L3" i="32"/>
  <c r="Q22" i="32"/>
  <c r="K25" i="32"/>
  <c r="K3" i="32"/>
  <c r="Z40" i="32"/>
  <c r="AA40" i="32"/>
  <c r="C2" i="47"/>
  <c r="H20" i="50"/>
  <c r="I20" i="50"/>
  <c r="J20" i="50"/>
  <c r="K20" i="50"/>
  <c r="H21" i="50"/>
  <c r="I21" i="50"/>
  <c r="J21" i="50"/>
  <c r="K21" i="50"/>
  <c r="H23" i="50"/>
  <c r="J23" i="50"/>
  <c r="K23" i="50"/>
  <c r="H24" i="50"/>
  <c r="J24" i="50"/>
  <c r="K24" i="50"/>
  <c r="B8" i="32"/>
  <c r="M3" i="32"/>
  <c r="O3" i="32" s="1"/>
  <c r="D8" i="28"/>
  <c r="AD41" i="32"/>
  <c r="AE41" i="32"/>
  <c r="C3" i="46"/>
  <c r="AD42" i="32"/>
  <c r="AE42" i="32" s="1"/>
  <c r="C4" i="46"/>
  <c r="AD43" i="32"/>
  <c r="AE43" i="32"/>
  <c r="C5" i="46" s="1"/>
  <c r="AD44" i="32"/>
  <c r="AE44" i="32"/>
  <c r="C6" i="46" s="1"/>
  <c r="AD45" i="32"/>
  <c r="AE45" i="32"/>
  <c r="C7" i="46"/>
  <c r="AD46" i="32"/>
  <c r="AE46" i="32" s="1"/>
  <c r="C8" i="46"/>
  <c r="AD47" i="32"/>
  <c r="AE47" i="32"/>
  <c r="C9" i="46" s="1"/>
  <c r="AD48" i="32"/>
  <c r="AE48" i="32"/>
  <c r="C10" i="46" s="1"/>
  <c r="AD49" i="32"/>
  <c r="AE49" i="32"/>
  <c r="C11" i="46"/>
  <c r="AD50" i="32"/>
  <c r="AE50" i="32" s="1"/>
  <c r="C12" i="46"/>
  <c r="AD51" i="32"/>
  <c r="AE51" i="32"/>
  <c r="C13" i="46" s="1"/>
  <c r="AD52" i="32"/>
  <c r="AE52" i="32"/>
  <c r="C14" i="46" s="1"/>
  <c r="AD53" i="32"/>
  <c r="AE53" i="32"/>
  <c r="C15" i="46"/>
  <c r="AD54" i="32"/>
  <c r="AE54" i="32" s="1"/>
  <c r="C16" i="46"/>
  <c r="AD55" i="32"/>
  <c r="AE55" i="32"/>
  <c r="C17" i="46" s="1"/>
  <c r="AD56" i="32"/>
  <c r="AE56" i="32"/>
  <c r="C18" i="46" s="1"/>
  <c r="AD57" i="32"/>
  <c r="AE57" i="32"/>
  <c r="C19" i="46"/>
  <c r="AD58" i="32"/>
  <c r="AE58" i="32" s="1"/>
  <c r="C20" i="46"/>
  <c r="AD59" i="32"/>
  <c r="AE59" i="32"/>
  <c r="C21" i="46" s="1"/>
  <c r="AD60" i="32"/>
  <c r="AE60" i="32"/>
  <c r="C22" i="46" s="1"/>
  <c r="AD61" i="32"/>
  <c r="AE61" i="32"/>
  <c r="C23" i="46"/>
  <c r="AD62" i="32"/>
  <c r="AE62" i="32" s="1"/>
  <c r="C24" i="46"/>
  <c r="AD63" i="32"/>
  <c r="AE63" i="32"/>
  <c r="C25" i="46" s="1"/>
  <c r="AD64" i="32"/>
  <c r="AE64" i="32"/>
  <c r="C26" i="46" s="1"/>
  <c r="AD65" i="32"/>
  <c r="AE65" i="32"/>
  <c r="C27" i="46"/>
  <c r="AD66" i="32"/>
  <c r="AE66" i="32" s="1"/>
  <c r="C28" i="46"/>
  <c r="AD67" i="32"/>
  <c r="AE67" i="32"/>
  <c r="C29" i="46" s="1"/>
  <c r="AD68" i="32"/>
  <c r="AE68" i="32"/>
  <c r="C30" i="46" s="1"/>
  <c r="AD69" i="32"/>
  <c r="AE69" i="32"/>
  <c r="C31" i="46"/>
  <c r="AD70" i="32"/>
  <c r="AE70" i="32" s="1"/>
  <c r="C32" i="46"/>
  <c r="AD71" i="32"/>
  <c r="AE71" i="32"/>
  <c r="C33" i="46" s="1"/>
  <c r="AD72" i="32"/>
  <c r="AE72" i="32"/>
  <c r="C34" i="46" s="1"/>
  <c r="AD73" i="32"/>
  <c r="AE73" i="32" s="1"/>
  <c r="C35" i="46" s="1"/>
  <c r="AD74" i="32"/>
  <c r="AE74" i="32"/>
  <c r="C36" i="46" s="1"/>
  <c r="AD75" i="32"/>
  <c r="AE75" i="32" s="1"/>
  <c r="C37" i="46" s="1"/>
  <c r="AD76" i="32"/>
  <c r="AE76" i="32"/>
  <c r="C38" i="46" s="1"/>
  <c r="AD77" i="32"/>
  <c r="AE77" i="32" s="1"/>
  <c r="C39" i="46" s="1"/>
  <c r="AD78" i="32"/>
  <c r="AE78" i="32"/>
  <c r="C40" i="46" s="1"/>
  <c r="AD79" i="32"/>
  <c r="AE79" i="32" s="1"/>
  <c r="C41" i="46" s="1"/>
  <c r="AD80" i="32"/>
  <c r="AE80" i="32"/>
  <c r="C42" i="46" s="1"/>
  <c r="AD81" i="32"/>
  <c r="AE81" i="32" s="1"/>
  <c r="C43" i="46" s="1"/>
  <c r="AD82" i="32"/>
  <c r="AE82" i="32"/>
  <c r="C44" i="46" s="1"/>
  <c r="AD83" i="32"/>
  <c r="AE83" i="32" s="1"/>
  <c r="C45" i="46" s="1"/>
  <c r="AD84" i="32"/>
  <c r="AE84" i="32"/>
  <c r="C46" i="46" s="1"/>
  <c r="AD85" i="32"/>
  <c r="AE85" i="32" s="1"/>
  <c r="C47" i="46" s="1"/>
  <c r="AD86" i="32"/>
  <c r="AE86" i="32"/>
  <c r="C48" i="46" s="1"/>
  <c r="AD87" i="32"/>
  <c r="AE87" i="32" s="1"/>
  <c r="C49" i="46" s="1"/>
  <c r="AD88" i="32"/>
  <c r="AE88" i="32"/>
  <c r="C50" i="46" s="1"/>
  <c r="AD89" i="32"/>
  <c r="AE89" i="32" s="1"/>
  <c r="C51" i="46" s="1"/>
  <c r="AD90" i="32"/>
  <c r="AE90" i="32"/>
  <c r="C52" i="46" s="1"/>
  <c r="AD91" i="32"/>
  <c r="AE91" i="32" s="1"/>
  <c r="C53" i="46" s="1"/>
  <c r="AD92" i="32"/>
  <c r="AE92" i="32"/>
  <c r="C54" i="46" s="1"/>
  <c r="AD93" i="32"/>
  <c r="AE93" i="32" s="1"/>
  <c r="C55" i="46" s="1"/>
  <c r="AD94" i="32"/>
  <c r="AE94" i="32"/>
  <c r="C56" i="46" s="1"/>
  <c r="AD95" i="32"/>
  <c r="AE95" i="32" s="1"/>
  <c r="C57" i="46" s="1"/>
  <c r="AD96" i="32"/>
  <c r="AE96" i="32" s="1"/>
  <c r="C58" i="46" s="1"/>
  <c r="AD97" i="32"/>
  <c r="AE97" i="32" s="1"/>
  <c r="C59" i="46"/>
  <c r="AD98" i="32"/>
  <c r="AE98" i="32"/>
  <c r="C60" i="46" s="1"/>
  <c r="AD99" i="32"/>
  <c r="AE99" i="32" s="1"/>
  <c r="C61" i="46" s="1"/>
  <c r="AD100" i="32"/>
  <c r="AE100" i="32" s="1"/>
  <c r="C62" i="46" s="1"/>
  <c r="AD101" i="32"/>
  <c r="AE101" i="32" s="1"/>
  <c r="C63" i="46" s="1"/>
  <c r="AD102" i="32"/>
  <c r="AE102" i="32"/>
  <c r="C64" i="46" s="1"/>
  <c r="AD103" i="32"/>
  <c r="AE103" i="32" s="1"/>
  <c r="C65" i="46" s="1"/>
  <c r="AD104" i="32"/>
  <c r="AE104" i="32" s="1"/>
  <c r="C66" i="46" s="1"/>
  <c r="AD105" i="32"/>
  <c r="AE105" i="32" s="1"/>
  <c r="C67" i="46" s="1"/>
  <c r="AD106" i="32"/>
  <c r="AE106" i="32"/>
  <c r="C68" i="46" s="1"/>
  <c r="AD107" i="32"/>
  <c r="AE107" i="32" s="1"/>
  <c r="C69" i="46" s="1"/>
  <c r="AD40" i="32"/>
  <c r="AE40" i="32" s="1"/>
  <c r="C2" i="46" s="1"/>
  <c r="AY41" i="32"/>
  <c r="AZ41" i="32" s="1"/>
  <c r="B3" i="46" s="1"/>
  <c r="AY42" i="32"/>
  <c r="AZ42" i="32"/>
  <c r="B4" i="46" s="1"/>
  <c r="AY43" i="32"/>
  <c r="AZ43" i="32" s="1"/>
  <c r="B5" i="46" s="1"/>
  <c r="AY44" i="32"/>
  <c r="AZ44" i="32" s="1"/>
  <c r="B6" i="46" s="1"/>
  <c r="AY45" i="32"/>
  <c r="AZ45" i="32" s="1"/>
  <c r="B7" i="46"/>
  <c r="AY46" i="32"/>
  <c r="AZ46" i="32"/>
  <c r="B8" i="46" s="1"/>
  <c r="AY47" i="32"/>
  <c r="AZ47" i="32" s="1"/>
  <c r="B9" i="46" s="1"/>
  <c r="AY48" i="32"/>
  <c r="AZ48" i="32" s="1"/>
  <c r="B10" i="46" s="1"/>
  <c r="AY49" i="32"/>
  <c r="AZ49" i="32" s="1"/>
  <c r="B11" i="46" s="1"/>
  <c r="AY50" i="32"/>
  <c r="AZ50" i="32"/>
  <c r="B12" i="46" s="1"/>
  <c r="AY51" i="32"/>
  <c r="AZ51" i="32" s="1"/>
  <c r="B13" i="46" s="1"/>
  <c r="AY52" i="32"/>
  <c r="AZ52" i="32" s="1"/>
  <c r="B14" i="46" s="1"/>
  <c r="AY53" i="32"/>
  <c r="AZ53" i="32" s="1"/>
  <c r="B15" i="46" s="1"/>
  <c r="AY54" i="32"/>
  <c r="AZ54" i="32"/>
  <c r="B16" i="46" s="1"/>
  <c r="AY55" i="32"/>
  <c r="AZ55" i="32" s="1"/>
  <c r="B17" i="46" s="1"/>
  <c r="AY56" i="32"/>
  <c r="AZ56" i="32" s="1"/>
  <c r="B18" i="46" s="1"/>
  <c r="AY57" i="32"/>
  <c r="AZ57" i="32" s="1"/>
  <c r="B19" i="46" s="1"/>
  <c r="AY58" i="32"/>
  <c r="AZ58" i="32"/>
  <c r="B20" i="46" s="1"/>
  <c r="AY59" i="32"/>
  <c r="AZ59" i="32" s="1"/>
  <c r="B21" i="46" s="1"/>
  <c r="AY60" i="32"/>
  <c r="AZ60" i="32" s="1"/>
  <c r="B22" i="46" s="1"/>
  <c r="AY61" i="32"/>
  <c r="AZ61" i="32" s="1"/>
  <c r="B23" i="46"/>
  <c r="AY62" i="32"/>
  <c r="AZ62" i="32"/>
  <c r="B24" i="46" s="1"/>
  <c r="AY63" i="32"/>
  <c r="AZ63" i="32" s="1"/>
  <c r="B25" i="46" s="1"/>
  <c r="AY64" i="32"/>
  <c r="AZ64" i="32" s="1"/>
  <c r="B26" i="46" s="1"/>
  <c r="AY65" i="32"/>
  <c r="AZ65" i="32" s="1"/>
  <c r="B27" i="46" s="1"/>
  <c r="AY66" i="32"/>
  <c r="AZ66" i="32"/>
  <c r="B28" i="46" s="1"/>
  <c r="AY67" i="32"/>
  <c r="AZ67" i="32" s="1"/>
  <c r="B29" i="46" s="1"/>
  <c r="AY68" i="32"/>
  <c r="AZ68" i="32" s="1"/>
  <c r="B30" i="46" s="1"/>
  <c r="AY69" i="32"/>
  <c r="AZ69" i="32" s="1"/>
  <c r="B31" i="46" s="1"/>
  <c r="AY70" i="32"/>
  <c r="AZ70" i="32"/>
  <c r="B32" i="46" s="1"/>
  <c r="AY71" i="32"/>
  <c r="AZ71" i="32" s="1"/>
  <c r="B33" i="46" s="1"/>
  <c r="AY72" i="32"/>
  <c r="AZ72" i="32" s="1"/>
  <c r="B34" i="46" s="1"/>
  <c r="AY73" i="32"/>
  <c r="AZ73" i="32" s="1"/>
  <c r="B35" i="46" s="1"/>
  <c r="AY74" i="32"/>
  <c r="AZ74" i="32"/>
  <c r="B36" i="46" s="1"/>
  <c r="AY75" i="32"/>
  <c r="AZ75" i="32" s="1"/>
  <c r="B37" i="46" s="1"/>
  <c r="AY76" i="32"/>
  <c r="AZ76" i="32" s="1"/>
  <c r="B38" i="46" s="1"/>
  <c r="AY77" i="32"/>
  <c r="AZ77" i="32" s="1"/>
  <c r="B39" i="46"/>
  <c r="AY78" i="32"/>
  <c r="AZ78" i="32"/>
  <c r="B40" i="46" s="1"/>
  <c r="AY79" i="32"/>
  <c r="AZ79" i="32" s="1"/>
  <c r="B41" i="46" s="1"/>
  <c r="AY80" i="32"/>
  <c r="AZ80" i="32" s="1"/>
  <c r="B42" i="46" s="1"/>
  <c r="AY81" i="32"/>
  <c r="AZ81" i="32" s="1"/>
  <c r="B43" i="46" s="1"/>
  <c r="AY82" i="32"/>
  <c r="AZ82" i="32"/>
  <c r="B44" i="46" s="1"/>
  <c r="AY83" i="32"/>
  <c r="AZ83" i="32" s="1"/>
  <c r="B45" i="46" s="1"/>
  <c r="AY84" i="32"/>
  <c r="AZ84" i="32" s="1"/>
  <c r="B46" i="46" s="1"/>
  <c r="AY85" i="32"/>
  <c r="AZ85" i="32" s="1"/>
  <c r="B47" i="46" s="1"/>
  <c r="AY86" i="32"/>
  <c r="AZ86" i="32"/>
  <c r="B48" i="46" s="1"/>
  <c r="AY87" i="32"/>
  <c r="AZ87" i="32" s="1"/>
  <c r="B49" i="46" s="1"/>
  <c r="AY88" i="32"/>
  <c r="AZ88" i="32" s="1"/>
  <c r="B50" i="46" s="1"/>
  <c r="AY89" i="32"/>
  <c r="AZ89" i="32" s="1"/>
  <c r="B51" i="46" s="1"/>
  <c r="AY90" i="32"/>
  <c r="AZ90" i="32"/>
  <c r="B52" i="46" s="1"/>
  <c r="AY91" i="32"/>
  <c r="AZ91" i="32" s="1"/>
  <c r="B53" i="46" s="1"/>
  <c r="AY92" i="32"/>
  <c r="AZ92" i="32" s="1"/>
  <c r="B54" i="46" s="1"/>
  <c r="AY93" i="32"/>
  <c r="AZ93" i="32" s="1"/>
  <c r="B55" i="46"/>
  <c r="AY94" i="32"/>
  <c r="AZ94" i="32"/>
  <c r="B56" i="46" s="1"/>
  <c r="AY95" i="32"/>
  <c r="AZ95" i="32" s="1"/>
  <c r="B57" i="46" s="1"/>
  <c r="AY96" i="32"/>
  <c r="AZ96" i="32" s="1"/>
  <c r="B58" i="46" s="1"/>
  <c r="AY97" i="32"/>
  <c r="AZ97" i="32" s="1"/>
  <c r="B59" i="46" s="1"/>
  <c r="AY98" i="32"/>
  <c r="AZ98" i="32"/>
  <c r="B60" i="46" s="1"/>
  <c r="AY99" i="32"/>
  <c r="AZ99" i="32" s="1"/>
  <c r="B61" i="46" s="1"/>
  <c r="AY100" i="32"/>
  <c r="AZ100" i="32" s="1"/>
  <c r="B62" i="46" s="1"/>
  <c r="AY101" i="32"/>
  <c r="AZ101" i="32" s="1"/>
  <c r="B63" i="46" s="1"/>
  <c r="AY102" i="32"/>
  <c r="AZ102" i="32"/>
  <c r="B64" i="46" s="1"/>
  <c r="AY103" i="32"/>
  <c r="AZ103" i="32" s="1"/>
  <c r="B65" i="46" s="1"/>
  <c r="AY104" i="32"/>
  <c r="AZ104" i="32" s="1"/>
  <c r="B66" i="46" s="1"/>
  <c r="AY105" i="32"/>
  <c r="AZ105" i="32" s="1"/>
  <c r="B67" i="46" s="1"/>
  <c r="AY106" i="32"/>
  <c r="AZ106" i="32"/>
  <c r="B68" i="46" s="1"/>
  <c r="AY107" i="32"/>
  <c r="AZ107" i="32" s="1"/>
  <c r="B69" i="46" s="1"/>
  <c r="AY40" i="32"/>
  <c r="AZ40" i="32" s="1"/>
  <c r="B2" i="46" s="1"/>
  <c r="A3" i="46"/>
  <c r="A4" i="46"/>
  <c r="A5" i="46"/>
  <c r="A6" i="46"/>
  <c r="A7" i="46"/>
  <c r="A8" i="46"/>
  <c r="A9" i="46"/>
  <c r="A10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58" i="46"/>
  <c r="A59" i="46"/>
  <c r="A60" i="46"/>
  <c r="A61" i="46"/>
  <c r="A62" i="46"/>
  <c r="A63" i="46"/>
  <c r="A64" i="46"/>
  <c r="A65" i="46"/>
  <c r="A66" i="46"/>
  <c r="A67" i="46"/>
  <c r="A68" i="46"/>
  <c r="A69" i="46"/>
  <c r="A2" i="46"/>
  <c r="Q25" i="32"/>
  <c r="Q23" i="32"/>
  <c r="Q24" i="32"/>
  <c r="Q27" i="32" s="1"/>
  <c r="Q26" i="32"/>
  <c r="Z41" i="32"/>
  <c r="AA41" i="32"/>
  <c r="C3" i="47" s="1"/>
  <c r="Z42" i="32"/>
  <c r="AA42" i="32"/>
  <c r="C4" i="47" s="1"/>
  <c r="Z43" i="32"/>
  <c r="AA43" i="32"/>
  <c r="C5" i="47"/>
  <c r="Z44" i="32"/>
  <c r="AA44" i="32" s="1"/>
  <c r="C6" i="47"/>
  <c r="Z45" i="32"/>
  <c r="AA45" i="32"/>
  <c r="C7" i="47" s="1"/>
  <c r="Z46" i="32"/>
  <c r="AA46" i="32"/>
  <c r="C8" i="47" s="1"/>
  <c r="Z47" i="32"/>
  <c r="AA47" i="32"/>
  <c r="C9" i="47"/>
  <c r="Z48" i="32"/>
  <c r="AA48" i="32" s="1"/>
  <c r="C10" i="47"/>
  <c r="Z49" i="32"/>
  <c r="AA49" i="32"/>
  <c r="C11" i="47" s="1"/>
  <c r="Z50" i="32"/>
  <c r="AA50" i="32"/>
  <c r="C12" i="47" s="1"/>
  <c r="Z51" i="32"/>
  <c r="AA51" i="32"/>
  <c r="C13" i="47"/>
  <c r="Z52" i="32"/>
  <c r="AA52" i="32" s="1"/>
  <c r="C14" i="47"/>
  <c r="Z53" i="32"/>
  <c r="AA53" i="32"/>
  <c r="C15" i="47" s="1"/>
  <c r="Z54" i="32"/>
  <c r="AA54" i="32"/>
  <c r="C16" i="47" s="1"/>
  <c r="Z55" i="32"/>
  <c r="AA55" i="32"/>
  <c r="C17" i="47"/>
  <c r="Z56" i="32"/>
  <c r="AA56" i="32" s="1"/>
  <c r="C18" i="47"/>
  <c r="Z57" i="32"/>
  <c r="AA57" i="32"/>
  <c r="C19" i="47" s="1"/>
  <c r="Z58" i="32"/>
  <c r="AA58" i="32"/>
  <c r="C20" i="47" s="1"/>
  <c r="Z59" i="32"/>
  <c r="AA59" i="32"/>
  <c r="C21" i="47"/>
  <c r="Z60" i="32"/>
  <c r="AA60" i="32" s="1"/>
  <c r="C22" i="47"/>
  <c r="Z61" i="32"/>
  <c r="AA61" i="32"/>
  <c r="C23" i="47" s="1"/>
  <c r="Z62" i="32"/>
  <c r="AA62" i="32"/>
  <c r="C24" i="47" s="1"/>
  <c r="Z63" i="32"/>
  <c r="AA63" i="32"/>
  <c r="C25" i="47"/>
  <c r="Z64" i="32"/>
  <c r="AA64" i="32" s="1"/>
  <c r="C26" i="47"/>
  <c r="Z65" i="32"/>
  <c r="AA65" i="32"/>
  <c r="C27" i="47" s="1"/>
  <c r="Z66" i="32"/>
  <c r="AA66" i="32"/>
  <c r="C28" i="47" s="1"/>
  <c r="Z67" i="32"/>
  <c r="AA67" i="32"/>
  <c r="C29" i="47"/>
  <c r="Z68" i="32"/>
  <c r="AA68" i="32" s="1"/>
  <c r="C30" i="47"/>
  <c r="Z69" i="32"/>
  <c r="AA69" i="32"/>
  <c r="C31" i="47" s="1"/>
  <c r="Z70" i="32"/>
  <c r="AA70" i="32"/>
  <c r="C32" i="47" s="1"/>
  <c r="Z71" i="32"/>
  <c r="AA71" i="32"/>
  <c r="C33" i="47"/>
  <c r="Z72" i="32"/>
  <c r="AA72" i="32" s="1"/>
  <c r="C34" i="47"/>
  <c r="Z73" i="32"/>
  <c r="AA73" i="32"/>
  <c r="C35" i="47" s="1"/>
  <c r="Z74" i="32"/>
  <c r="AA74" i="32"/>
  <c r="C36" i="47" s="1"/>
  <c r="Z75" i="32"/>
  <c r="AA75" i="32"/>
  <c r="C37" i="47"/>
  <c r="Z76" i="32"/>
  <c r="AA76" i="32" s="1"/>
  <c r="C38" i="47"/>
  <c r="Z77" i="32"/>
  <c r="AA77" i="32"/>
  <c r="C39" i="47" s="1"/>
  <c r="Z78" i="32"/>
  <c r="AA78" i="32"/>
  <c r="C40" i="47" s="1"/>
  <c r="Z79" i="32"/>
  <c r="AA79" i="32"/>
  <c r="C41" i="47"/>
  <c r="Z80" i="32"/>
  <c r="AA80" i="32" s="1"/>
  <c r="C42" i="47"/>
  <c r="Z81" i="32"/>
  <c r="AA81" i="32"/>
  <c r="C43" i="47" s="1"/>
  <c r="Z82" i="32"/>
  <c r="AA82" i="32"/>
  <c r="C44" i="47" s="1"/>
  <c r="Z83" i="32"/>
  <c r="AA83" i="32"/>
  <c r="C45" i="47"/>
  <c r="Z84" i="32"/>
  <c r="AA84" i="32" s="1"/>
  <c r="C46" i="47"/>
  <c r="Z85" i="32"/>
  <c r="AA85" i="32"/>
  <c r="C47" i="47" s="1"/>
  <c r="Z86" i="32"/>
  <c r="AA86" i="32"/>
  <c r="C48" i="47" s="1"/>
  <c r="Z87" i="32"/>
  <c r="AA87" i="32"/>
  <c r="C49" i="47"/>
  <c r="Z88" i="32"/>
  <c r="AA88" i="32" s="1"/>
  <c r="C50" i="47"/>
  <c r="Z89" i="32"/>
  <c r="AA89" i="32"/>
  <c r="C51" i="47" s="1"/>
  <c r="Z90" i="32"/>
  <c r="AA90" i="32"/>
  <c r="C52" i="47" s="1"/>
  <c r="Z91" i="32"/>
  <c r="AA91" i="32"/>
  <c r="C53" i="47"/>
  <c r="Z92" i="32"/>
  <c r="AA92" i="32" s="1"/>
  <c r="C54" i="47"/>
  <c r="Z93" i="32"/>
  <c r="AA93" i="32"/>
  <c r="C55" i="47" s="1"/>
  <c r="Z94" i="32"/>
  <c r="AA94" i="32"/>
  <c r="C56" i="47" s="1"/>
  <c r="Z95" i="32"/>
  <c r="AA95" i="32"/>
  <c r="C57" i="47"/>
  <c r="Z96" i="32"/>
  <c r="AA96" i="32" s="1"/>
  <c r="C58" i="47"/>
  <c r="Z97" i="32"/>
  <c r="AA97" i="32"/>
  <c r="C59" i="47" s="1"/>
  <c r="Z98" i="32"/>
  <c r="AA98" i="32"/>
  <c r="C60" i="47" s="1"/>
  <c r="Z99" i="32"/>
  <c r="AA99" i="32"/>
  <c r="C61" i="47"/>
  <c r="Z100" i="32"/>
  <c r="AA100" i="32" s="1"/>
  <c r="C62" i="47"/>
  <c r="Z101" i="32"/>
  <c r="AA101" i="32"/>
  <c r="C63" i="47" s="1"/>
  <c r="Z102" i="32"/>
  <c r="AA102" i="32"/>
  <c r="C64" i="47" s="1"/>
  <c r="Z103" i="32"/>
  <c r="AA103" i="32"/>
  <c r="C65" i="47"/>
  <c r="Z104" i="32"/>
  <c r="AA104" i="32" s="1"/>
  <c r="C66" i="47"/>
  <c r="Z105" i="32"/>
  <c r="AA105" i="32"/>
  <c r="C67" i="47" s="1"/>
  <c r="Z106" i="32"/>
  <c r="AA106" i="32"/>
  <c r="C68" i="47" s="1"/>
  <c r="Z107" i="32"/>
  <c r="AA107" i="32"/>
  <c r="C69" i="47"/>
  <c r="AU41" i="32"/>
  <c r="AV41" i="32" s="1"/>
  <c r="B3" i="47"/>
  <c r="AU42" i="32"/>
  <c r="AV42" i="32"/>
  <c r="B4" i="47" s="1"/>
  <c r="AU43" i="32"/>
  <c r="AV43" i="32"/>
  <c r="B5" i="47" s="1"/>
  <c r="AU44" i="32"/>
  <c r="AV44" i="32"/>
  <c r="B6" i="47"/>
  <c r="AU45" i="32"/>
  <c r="AV45" i="32" s="1"/>
  <c r="B7" i="47"/>
  <c r="AU46" i="32"/>
  <c r="AV46" i="32"/>
  <c r="B8" i="47" s="1"/>
  <c r="AU47" i="32"/>
  <c r="AV47" i="32"/>
  <c r="B9" i="47" s="1"/>
  <c r="AU48" i="32"/>
  <c r="AV48" i="32"/>
  <c r="B10" i="47"/>
  <c r="AU49" i="32"/>
  <c r="AV49" i="32" s="1"/>
  <c r="B11" i="47"/>
  <c r="AU50" i="32"/>
  <c r="AV50" i="32"/>
  <c r="B12" i="47" s="1"/>
  <c r="AU51" i="32"/>
  <c r="AV51" i="32"/>
  <c r="B13" i="47" s="1"/>
  <c r="AU52" i="32"/>
  <c r="AV52" i="32"/>
  <c r="B14" i="47"/>
  <c r="AU53" i="32"/>
  <c r="AV53" i="32" s="1"/>
  <c r="B15" i="47"/>
  <c r="AU54" i="32"/>
  <c r="AV54" i="32"/>
  <c r="B16" i="47" s="1"/>
  <c r="AU55" i="32"/>
  <c r="AV55" i="32"/>
  <c r="B17" i="47" s="1"/>
  <c r="AU56" i="32"/>
  <c r="AV56" i="32"/>
  <c r="B18" i="47"/>
  <c r="AU57" i="32"/>
  <c r="AV57" i="32" s="1"/>
  <c r="B19" i="47"/>
  <c r="AU58" i="32"/>
  <c r="AV58" i="32"/>
  <c r="B20" i="47" s="1"/>
  <c r="AU59" i="32"/>
  <c r="AV59" i="32"/>
  <c r="B21" i="47" s="1"/>
  <c r="AU60" i="32"/>
  <c r="AV60" i="32"/>
  <c r="B22" i="47"/>
  <c r="AU61" i="32"/>
  <c r="AV61" i="32" s="1"/>
  <c r="B23" i="47"/>
  <c r="AU62" i="32"/>
  <c r="AV62" i="32"/>
  <c r="B24" i="47" s="1"/>
  <c r="AU63" i="32"/>
  <c r="AV63" i="32"/>
  <c r="B25" i="47" s="1"/>
  <c r="AU64" i="32"/>
  <c r="AV64" i="32"/>
  <c r="B26" i="47"/>
  <c r="AU65" i="32"/>
  <c r="AV65" i="32" s="1"/>
  <c r="B27" i="47"/>
  <c r="AU66" i="32"/>
  <c r="AV66" i="32"/>
  <c r="B28" i="47" s="1"/>
  <c r="AU67" i="32"/>
  <c r="AV67" i="32"/>
  <c r="B29" i="47" s="1"/>
  <c r="AU68" i="32"/>
  <c r="AV68" i="32"/>
  <c r="B30" i="47"/>
  <c r="AU69" i="32"/>
  <c r="AV69" i="32" s="1"/>
  <c r="B31" i="47"/>
  <c r="AU70" i="32"/>
  <c r="AV70" i="32"/>
  <c r="B32" i="47" s="1"/>
  <c r="AU71" i="32"/>
  <c r="AV71" i="32"/>
  <c r="B33" i="47" s="1"/>
  <c r="AU72" i="32"/>
  <c r="AV72" i="32"/>
  <c r="B34" i="47"/>
  <c r="AU73" i="32"/>
  <c r="AV73" i="32" s="1"/>
  <c r="B35" i="47"/>
  <c r="AU74" i="32"/>
  <c r="AV74" i="32"/>
  <c r="B36" i="47" s="1"/>
  <c r="AU75" i="32"/>
  <c r="AV75" i="32"/>
  <c r="B37" i="47" s="1"/>
  <c r="AU76" i="32"/>
  <c r="AV76" i="32"/>
  <c r="B38" i="47"/>
  <c r="AU77" i="32"/>
  <c r="AV77" i="32" s="1"/>
  <c r="B39" i="47"/>
  <c r="AU78" i="32"/>
  <c r="AV78" i="32"/>
  <c r="B40" i="47" s="1"/>
  <c r="AU79" i="32"/>
  <c r="AV79" i="32"/>
  <c r="B41" i="47" s="1"/>
  <c r="AU80" i="32"/>
  <c r="AV80" i="32"/>
  <c r="B42" i="47"/>
  <c r="AU81" i="32"/>
  <c r="AV81" i="32" s="1"/>
  <c r="B43" i="47"/>
  <c r="AU82" i="32"/>
  <c r="AV82" i="32"/>
  <c r="B44" i="47" s="1"/>
  <c r="AU83" i="32"/>
  <c r="AV83" i="32"/>
  <c r="B45" i="47" s="1"/>
  <c r="AU84" i="32"/>
  <c r="AV84" i="32"/>
  <c r="B46" i="47"/>
  <c r="AU85" i="32"/>
  <c r="AV85" i="32" s="1"/>
  <c r="B47" i="47"/>
  <c r="AU86" i="32"/>
  <c r="AV86" i="32"/>
  <c r="B48" i="47" s="1"/>
  <c r="AU87" i="32"/>
  <c r="AV87" i="32"/>
  <c r="B49" i="47" s="1"/>
  <c r="AU88" i="32"/>
  <c r="AV88" i="32"/>
  <c r="B50" i="47"/>
  <c r="AU89" i="32"/>
  <c r="AV89" i="32" s="1"/>
  <c r="B51" i="47"/>
  <c r="AU90" i="32"/>
  <c r="AV90" i="32"/>
  <c r="B52" i="47" s="1"/>
  <c r="AU91" i="32"/>
  <c r="AV91" i="32"/>
  <c r="B53" i="47" s="1"/>
  <c r="AU92" i="32"/>
  <c r="AV92" i="32"/>
  <c r="B54" i="47"/>
  <c r="AU93" i="32"/>
  <c r="AV93" i="32" s="1"/>
  <c r="B55" i="47"/>
  <c r="AU94" i="32"/>
  <c r="AV94" i="32"/>
  <c r="B56" i="47" s="1"/>
  <c r="AU95" i="32"/>
  <c r="AV95" i="32"/>
  <c r="B57" i="47" s="1"/>
  <c r="AU96" i="32"/>
  <c r="AV96" i="32"/>
  <c r="B58" i="47"/>
  <c r="AU97" i="32"/>
  <c r="AV97" i="32" s="1"/>
  <c r="B59" i="47"/>
  <c r="AU98" i="32"/>
  <c r="AV98" i="32"/>
  <c r="B60" i="47" s="1"/>
  <c r="AU99" i="32"/>
  <c r="AV99" i="32"/>
  <c r="B61" i="47" s="1"/>
  <c r="AU100" i="32"/>
  <c r="AV100" i="32"/>
  <c r="B62" i="47"/>
  <c r="AU101" i="32"/>
  <c r="AV101" i="32" s="1"/>
  <c r="B63" i="47"/>
  <c r="AU102" i="32"/>
  <c r="AV102" i="32"/>
  <c r="B64" i="47" s="1"/>
  <c r="AU103" i="32"/>
  <c r="AV103" i="32"/>
  <c r="B65" i="47" s="1"/>
  <c r="AU104" i="32"/>
  <c r="AV104" i="32"/>
  <c r="B66" i="47"/>
  <c r="AU105" i="32"/>
  <c r="AV105" i="32" s="1"/>
  <c r="B67" i="47"/>
  <c r="AU106" i="32"/>
  <c r="AV106" i="32"/>
  <c r="B68" i="47" s="1"/>
  <c r="AU107" i="32"/>
  <c r="AV107" i="32"/>
  <c r="B69" i="47" s="1"/>
  <c r="A3" i="47"/>
  <c r="A4" i="47"/>
  <c r="A5" i="47"/>
  <c r="A6" i="47"/>
  <c r="A7" i="47"/>
  <c r="A8" i="47"/>
  <c r="A9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8" i="47"/>
  <c r="A49" i="47"/>
  <c r="A50" i="47"/>
  <c r="A51" i="47"/>
  <c r="A52" i="47"/>
  <c r="A53" i="47"/>
  <c r="A54" i="47"/>
  <c r="A55" i="47"/>
  <c r="A56" i="47"/>
  <c r="A57" i="47"/>
  <c r="A58" i="47"/>
  <c r="A59" i="47"/>
  <c r="A60" i="47"/>
  <c r="A61" i="47"/>
  <c r="A62" i="47"/>
  <c r="A63" i="47"/>
  <c r="A64" i="47"/>
  <c r="A65" i="47"/>
  <c r="A66" i="47"/>
  <c r="A67" i="47"/>
  <c r="A68" i="47"/>
  <c r="A69" i="47"/>
  <c r="AU40" i="32"/>
  <c r="AV40" i="32" s="1"/>
  <c r="B2" i="47"/>
  <c r="A2" i="47"/>
  <c r="AQ41" i="32"/>
  <c r="AQ42" i="32"/>
  <c r="B4" i="42"/>
  <c r="AQ43" i="32"/>
  <c r="B5" i="42" s="1"/>
  <c r="AQ44" i="32"/>
  <c r="AQ45" i="32"/>
  <c r="B7" i="42" s="1"/>
  <c r="AQ46" i="32"/>
  <c r="B8" i="42"/>
  <c r="AQ47" i="32"/>
  <c r="B9" i="42" s="1"/>
  <c r="AQ48" i="32"/>
  <c r="B10" i="42" s="1"/>
  <c r="AQ49" i="32"/>
  <c r="AQ50" i="32"/>
  <c r="B12" i="42"/>
  <c r="AQ51" i="32"/>
  <c r="B13" i="42" s="1"/>
  <c r="AQ52" i="32"/>
  <c r="AQ53" i="32"/>
  <c r="B15" i="42" s="1"/>
  <c r="AQ54" i="32"/>
  <c r="B16" i="42"/>
  <c r="AQ55" i="32"/>
  <c r="B17" i="42" s="1"/>
  <c r="AQ56" i="32"/>
  <c r="B18" i="42" s="1"/>
  <c r="AQ57" i="32"/>
  <c r="AQ58" i="32"/>
  <c r="B20" i="42"/>
  <c r="AQ59" i="32"/>
  <c r="B21" i="42" s="1"/>
  <c r="AQ60" i="32"/>
  <c r="AQ61" i="32"/>
  <c r="B23" i="42" s="1"/>
  <c r="AQ62" i="32"/>
  <c r="B24" i="42"/>
  <c r="AQ63" i="32"/>
  <c r="B25" i="42" s="1"/>
  <c r="AQ64" i="32"/>
  <c r="B26" i="42" s="1"/>
  <c r="AQ65" i="32"/>
  <c r="AQ66" i="32"/>
  <c r="B28" i="42"/>
  <c r="AQ67" i="32"/>
  <c r="B29" i="42"/>
  <c r="AQ68" i="32"/>
  <c r="B30" i="42"/>
  <c r="AQ69" i="32"/>
  <c r="B31" i="42"/>
  <c r="AQ70" i="32"/>
  <c r="B32" i="42"/>
  <c r="AQ71" i="32"/>
  <c r="B33" i="42"/>
  <c r="AQ72" i="32"/>
  <c r="B34" i="42"/>
  <c r="AQ73" i="32"/>
  <c r="B35" i="42"/>
  <c r="AQ74" i="32"/>
  <c r="B36" i="42"/>
  <c r="AQ75" i="32"/>
  <c r="B37" i="42"/>
  <c r="AQ76" i="32"/>
  <c r="B38" i="42"/>
  <c r="AQ77" i="32"/>
  <c r="B39" i="42"/>
  <c r="AQ78" i="32"/>
  <c r="B40" i="42"/>
  <c r="AQ79" i="32"/>
  <c r="B41" i="42"/>
  <c r="AQ80" i="32"/>
  <c r="B42" i="42"/>
  <c r="AQ81" i="32"/>
  <c r="B43" i="42"/>
  <c r="AQ82" i="32"/>
  <c r="B44" i="42"/>
  <c r="AQ83" i="32"/>
  <c r="B45" i="42"/>
  <c r="AQ84" i="32"/>
  <c r="B46" i="42"/>
  <c r="AQ85" i="32"/>
  <c r="B47" i="42"/>
  <c r="AQ86" i="32"/>
  <c r="B48" i="42"/>
  <c r="AQ87" i="32"/>
  <c r="B49" i="42"/>
  <c r="AQ88" i="32"/>
  <c r="B50" i="42"/>
  <c r="AQ89" i="32"/>
  <c r="B51" i="42"/>
  <c r="AQ90" i="32"/>
  <c r="B52" i="42"/>
  <c r="AQ91" i="32"/>
  <c r="B53" i="42"/>
  <c r="AQ92" i="32"/>
  <c r="B54" i="42"/>
  <c r="AQ93" i="32"/>
  <c r="B55" i="42"/>
  <c r="AQ94" i="32"/>
  <c r="B56" i="42"/>
  <c r="AQ95" i="32"/>
  <c r="B57" i="42"/>
  <c r="AQ96" i="32"/>
  <c r="B58" i="42"/>
  <c r="AQ97" i="32"/>
  <c r="B59" i="42"/>
  <c r="AQ98" i="32"/>
  <c r="B60" i="42"/>
  <c r="AQ99" i="32"/>
  <c r="B61" i="42"/>
  <c r="AQ100" i="32"/>
  <c r="B62" i="42"/>
  <c r="AQ101" i="32"/>
  <c r="B63" i="42"/>
  <c r="AQ102" i="32"/>
  <c r="B64" i="42"/>
  <c r="AQ103" i="32"/>
  <c r="B65" i="42"/>
  <c r="AQ104" i="32"/>
  <c r="B66" i="42"/>
  <c r="AQ105" i="32"/>
  <c r="B67" i="42"/>
  <c r="AQ106" i="32"/>
  <c r="B68" i="42"/>
  <c r="AQ107" i="32"/>
  <c r="B69" i="42"/>
  <c r="AQ40" i="32"/>
  <c r="B2" i="42"/>
  <c r="B4" i="36"/>
  <c r="B5" i="36"/>
  <c r="B8" i="36"/>
  <c r="B9" i="36"/>
  <c r="B10" i="36"/>
  <c r="B12" i="36"/>
  <c r="B13" i="36"/>
  <c r="B16" i="36"/>
  <c r="B17" i="36"/>
  <c r="B18" i="36"/>
  <c r="B20" i="36"/>
  <c r="B21" i="36"/>
  <c r="B24" i="36"/>
  <c r="B25" i="36"/>
  <c r="B26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2" i="36"/>
  <c r="AR42" i="32"/>
  <c r="AR43" i="32"/>
  <c r="AR46" i="32"/>
  <c r="AR47" i="32"/>
  <c r="AR48" i="32"/>
  <c r="AR50" i="32"/>
  <c r="AR51" i="32"/>
  <c r="AR54" i="32"/>
  <c r="AR55" i="32"/>
  <c r="AR56" i="32"/>
  <c r="AR58" i="32"/>
  <c r="AR59" i="32"/>
  <c r="AR62" i="32"/>
  <c r="AR63" i="32"/>
  <c r="AR64" i="32"/>
  <c r="AR66" i="32"/>
  <c r="AR67" i="32"/>
  <c r="AR68" i="32"/>
  <c r="AR69" i="32"/>
  <c r="AR70" i="32"/>
  <c r="AR71" i="32"/>
  <c r="AR72" i="32"/>
  <c r="AR73" i="32"/>
  <c r="AR74" i="32"/>
  <c r="AR75" i="32"/>
  <c r="AR76" i="32"/>
  <c r="AR77" i="32"/>
  <c r="AR78" i="32"/>
  <c r="AR79" i="32"/>
  <c r="AR80" i="32"/>
  <c r="AR81" i="32"/>
  <c r="AR82" i="32"/>
  <c r="AR83" i="32"/>
  <c r="AR84" i="32"/>
  <c r="AR85" i="32"/>
  <c r="AR86" i="32"/>
  <c r="AR87" i="32"/>
  <c r="AR88" i="32"/>
  <c r="AR89" i="32"/>
  <c r="AR90" i="32"/>
  <c r="AR91" i="32"/>
  <c r="AR92" i="32"/>
  <c r="AR93" i="32"/>
  <c r="AR94" i="32"/>
  <c r="AR95" i="32"/>
  <c r="AR96" i="32"/>
  <c r="AR97" i="32"/>
  <c r="AR98" i="32"/>
  <c r="AR99" i="32"/>
  <c r="AR100" i="32"/>
  <c r="AR101" i="32"/>
  <c r="AR102" i="32"/>
  <c r="AR103" i="32"/>
  <c r="AR104" i="32"/>
  <c r="AR105" i="32"/>
  <c r="AR106" i="32"/>
  <c r="AR107" i="32"/>
  <c r="AR40" i="32"/>
  <c r="V41" i="32"/>
  <c r="W41" i="32"/>
  <c r="C3" i="42" s="1"/>
  <c r="V42" i="32"/>
  <c r="W42" i="32" s="1"/>
  <c r="C4" i="42"/>
  <c r="V43" i="32"/>
  <c r="W43" i="32"/>
  <c r="C5" i="42" s="1"/>
  <c r="V44" i="32"/>
  <c r="W44" i="32" s="1"/>
  <c r="C6" i="42" s="1"/>
  <c r="V45" i="32"/>
  <c r="W45" i="32"/>
  <c r="C7" i="42" s="1"/>
  <c r="V46" i="32"/>
  <c r="W46" i="32" s="1"/>
  <c r="C8" i="42" s="1"/>
  <c r="V47" i="32"/>
  <c r="W47" i="32"/>
  <c r="C9" i="42" s="1"/>
  <c r="V48" i="32"/>
  <c r="W48" i="32" s="1"/>
  <c r="C10" i="42" s="1"/>
  <c r="V49" i="32"/>
  <c r="W49" i="32"/>
  <c r="C11" i="42" s="1"/>
  <c r="V50" i="32"/>
  <c r="W50" i="32" s="1"/>
  <c r="C12" i="42"/>
  <c r="V51" i="32"/>
  <c r="W51" i="32"/>
  <c r="C13" i="42" s="1"/>
  <c r="V52" i="32"/>
  <c r="W52" i="32" s="1"/>
  <c r="C14" i="42"/>
  <c r="V53" i="32"/>
  <c r="W53" i="32"/>
  <c r="C15" i="42" s="1"/>
  <c r="V54" i="32"/>
  <c r="W54" i="32" s="1"/>
  <c r="C16" i="42"/>
  <c r="V55" i="32"/>
  <c r="W55" i="32"/>
  <c r="C17" i="42" s="1"/>
  <c r="V56" i="32"/>
  <c r="W56" i="32" s="1"/>
  <c r="C18" i="42"/>
  <c r="V57" i="32"/>
  <c r="W57" i="32"/>
  <c r="C19" i="42" s="1"/>
  <c r="V58" i="32"/>
  <c r="W58" i="32" s="1"/>
  <c r="C20" i="42"/>
  <c r="V59" i="32"/>
  <c r="W59" i="32"/>
  <c r="C21" i="42" s="1"/>
  <c r="V60" i="32"/>
  <c r="W60" i="32" s="1"/>
  <c r="C22" i="42"/>
  <c r="V61" i="32"/>
  <c r="W61" i="32"/>
  <c r="C23" i="42" s="1"/>
  <c r="V62" i="32"/>
  <c r="W62" i="32" s="1"/>
  <c r="C24" i="42"/>
  <c r="V63" i="32"/>
  <c r="W63" i="32"/>
  <c r="C25" i="42" s="1"/>
  <c r="V64" i="32"/>
  <c r="W64" i="32" s="1"/>
  <c r="C26" i="42"/>
  <c r="V65" i="32"/>
  <c r="W65" i="32"/>
  <c r="C27" i="42" s="1"/>
  <c r="V66" i="32"/>
  <c r="W66" i="32" s="1"/>
  <c r="C28" i="42"/>
  <c r="V67" i="32"/>
  <c r="W67" i="32"/>
  <c r="C29" i="42" s="1"/>
  <c r="V68" i="32"/>
  <c r="W68" i="32" s="1"/>
  <c r="C30" i="42"/>
  <c r="V69" i="32"/>
  <c r="W69" i="32"/>
  <c r="C31" i="42" s="1"/>
  <c r="V70" i="32"/>
  <c r="W70" i="32" s="1"/>
  <c r="C32" i="42"/>
  <c r="V71" i="32"/>
  <c r="W71" i="32"/>
  <c r="C33" i="42" s="1"/>
  <c r="V72" i="32"/>
  <c r="W72" i="32" s="1"/>
  <c r="C34" i="42"/>
  <c r="V73" i="32"/>
  <c r="W73" i="32"/>
  <c r="C35" i="42" s="1"/>
  <c r="V74" i="32"/>
  <c r="W74" i="32" s="1"/>
  <c r="C36" i="42"/>
  <c r="V75" i="32"/>
  <c r="W75" i="32"/>
  <c r="C37" i="42" s="1"/>
  <c r="V76" i="32"/>
  <c r="W76" i="32" s="1"/>
  <c r="C38" i="42"/>
  <c r="V77" i="32"/>
  <c r="W77" i="32"/>
  <c r="C39" i="42" s="1"/>
  <c r="V78" i="32"/>
  <c r="W78" i="32" s="1"/>
  <c r="C40" i="42"/>
  <c r="V79" i="32"/>
  <c r="W79" i="32"/>
  <c r="C41" i="42" s="1"/>
  <c r="V80" i="32"/>
  <c r="W80" i="32" s="1"/>
  <c r="C42" i="42"/>
  <c r="V81" i="32"/>
  <c r="W81" i="32"/>
  <c r="C43" i="42" s="1"/>
  <c r="V82" i="32"/>
  <c r="W82" i="32" s="1"/>
  <c r="C44" i="42"/>
  <c r="V83" i="32"/>
  <c r="W83" i="32"/>
  <c r="C45" i="42" s="1"/>
  <c r="V84" i="32"/>
  <c r="W84" i="32" s="1"/>
  <c r="C46" i="42"/>
  <c r="V85" i="32"/>
  <c r="W85" i="32"/>
  <c r="C47" i="42" s="1"/>
  <c r="V86" i="32"/>
  <c r="W86" i="32" s="1"/>
  <c r="C48" i="42"/>
  <c r="V87" i="32"/>
  <c r="W87" i="32"/>
  <c r="C49" i="42" s="1"/>
  <c r="V88" i="32"/>
  <c r="W88" i="32" s="1"/>
  <c r="C50" i="42"/>
  <c r="V89" i="32"/>
  <c r="W89" i="32"/>
  <c r="C51" i="42" s="1"/>
  <c r="V90" i="32"/>
  <c r="W90" i="32" s="1"/>
  <c r="C52" i="42"/>
  <c r="V91" i="32"/>
  <c r="W91" i="32"/>
  <c r="C53" i="42" s="1"/>
  <c r="V92" i="32"/>
  <c r="W92" i="32" s="1"/>
  <c r="C54" i="42"/>
  <c r="V93" i="32"/>
  <c r="W93" i="32"/>
  <c r="C55" i="42" s="1"/>
  <c r="V94" i="32"/>
  <c r="W94" i="32" s="1"/>
  <c r="C56" i="42"/>
  <c r="V95" i="32"/>
  <c r="W95" i="32"/>
  <c r="C57" i="42" s="1"/>
  <c r="V96" i="32"/>
  <c r="W96" i="32" s="1"/>
  <c r="C58" i="42"/>
  <c r="V97" i="32"/>
  <c r="W97" i="32"/>
  <c r="C59" i="42" s="1"/>
  <c r="V98" i="32"/>
  <c r="W98" i="32" s="1"/>
  <c r="C60" i="42"/>
  <c r="V99" i="32"/>
  <c r="W99" i="32"/>
  <c r="C61" i="42" s="1"/>
  <c r="V100" i="32"/>
  <c r="W100" i="32" s="1"/>
  <c r="C62" i="42"/>
  <c r="V101" i="32"/>
  <c r="W101" i="32"/>
  <c r="C63" i="42" s="1"/>
  <c r="V102" i="32"/>
  <c r="W102" i="32" s="1"/>
  <c r="C64" i="42"/>
  <c r="V103" i="32"/>
  <c r="W103" i="32"/>
  <c r="C65" i="42" s="1"/>
  <c r="V104" i="32"/>
  <c r="W104" i="32" s="1"/>
  <c r="C66" i="42"/>
  <c r="V105" i="32"/>
  <c r="W105" i="32"/>
  <c r="C67" i="42" s="1"/>
  <c r="V106" i="32"/>
  <c r="W106" i="32" s="1"/>
  <c r="C68" i="42"/>
  <c r="V107" i="32"/>
  <c r="W107" i="32"/>
  <c r="C69" i="42" s="1"/>
  <c r="V40" i="32"/>
  <c r="W40" i="32" s="1"/>
  <c r="C2" i="42"/>
  <c r="A3" i="42"/>
  <c r="A4" i="42"/>
  <c r="A5" i="42"/>
  <c r="A6" i="42"/>
  <c r="A7" i="42"/>
  <c r="A8" i="42"/>
  <c r="A9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2" i="42"/>
  <c r="R41" i="32"/>
  <c r="S41" i="32"/>
  <c r="C3" i="36" s="1"/>
  <c r="R42" i="32"/>
  <c r="S42" i="32" s="1"/>
  <c r="C4" i="36"/>
  <c r="R43" i="32"/>
  <c r="S43" i="32"/>
  <c r="C5" i="36" s="1"/>
  <c r="R44" i="32"/>
  <c r="S44" i="32" s="1"/>
  <c r="C6" i="36"/>
  <c r="R45" i="32"/>
  <c r="S45" i="32"/>
  <c r="C7" i="36" s="1"/>
  <c r="R46" i="32"/>
  <c r="S46" i="32" s="1"/>
  <c r="C8" i="36"/>
  <c r="R47" i="32"/>
  <c r="S47" i="32"/>
  <c r="C9" i="36" s="1"/>
  <c r="R48" i="32"/>
  <c r="S48" i="32" s="1"/>
  <c r="C10" i="36"/>
  <c r="R49" i="32"/>
  <c r="S49" i="32"/>
  <c r="C11" i="36" s="1"/>
  <c r="R50" i="32"/>
  <c r="S50" i="32" s="1"/>
  <c r="C12" i="36"/>
  <c r="R51" i="32"/>
  <c r="S51" i="32"/>
  <c r="C13" i="36" s="1"/>
  <c r="R52" i="32"/>
  <c r="S52" i="32" s="1"/>
  <c r="C14" i="36"/>
  <c r="R53" i="32"/>
  <c r="S53" i="32"/>
  <c r="C15" i="36" s="1"/>
  <c r="R54" i="32"/>
  <c r="S54" i="32" s="1"/>
  <c r="C16" i="36"/>
  <c r="R55" i="32"/>
  <c r="S55" i="32"/>
  <c r="C17" i="36" s="1"/>
  <c r="R56" i="32"/>
  <c r="S56" i="32" s="1"/>
  <c r="C18" i="36"/>
  <c r="R57" i="32"/>
  <c r="S57" i="32"/>
  <c r="C19" i="36" s="1"/>
  <c r="R58" i="32"/>
  <c r="S58" i="32" s="1"/>
  <c r="C20" i="36"/>
  <c r="R59" i="32"/>
  <c r="S59" i="32"/>
  <c r="C21" i="36" s="1"/>
  <c r="R60" i="32"/>
  <c r="S60" i="32" s="1"/>
  <c r="C22" i="36"/>
  <c r="R61" i="32"/>
  <c r="S61" i="32"/>
  <c r="C23" i="36" s="1"/>
  <c r="R62" i="32"/>
  <c r="S62" i="32" s="1"/>
  <c r="C24" i="36"/>
  <c r="R63" i="32"/>
  <c r="S63" i="32"/>
  <c r="C25" i="36" s="1"/>
  <c r="R64" i="32"/>
  <c r="S64" i="32" s="1"/>
  <c r="C26" i="36"/>
  <c r="R65" i="32"/>
  <c r="S65" i="32"/>
  <c r="C27" i="36" s="1"/>
  <c r="R66" i="32"/>
  <c r="S66" i="32" s="1"/>
  <c r="C28" i="36"/>
  <c r="R67" i="32"/>
  <c r="S67" i="32"/>
  <c r="C29" i="36" s="1"/>
  <c r="R68" i="32"/>
  <c r="S68" i="32" s="1"/>
  <c r="C30" i="36"/>
  <c r="R69" i="32"/>
  <c r="S69" i="32"/>
  <c r="C31" i="36" s="1"/>
  <c r="R70" i="32"/>
  <c r="S70" i="32" s="1"/>
  <c r="C32" i="36"/>
  <c r="R71" i="32"/>
  <c r="S71" i="32"/>
  <c r="C33" i="36" s="1"/>
  <c r="R72" i="32"/>
  <c r="S72" i="32" s="1"/>
  <c r="C34" i="36"/>
  <c r="R73" i="32"/>
  <c r="S73" i="32"/>
  <c r="C35" i="36" s="1"/>
  <c r="R74" i="32"/>
  <c r="S74" i="32" s="1"/>
  <c r="C36" i="36"/>
  <c r="R75" i="32"/>
  <c r="S75" i="32"/>
  <c r="C37" i="36" s="1"/>
  <c r="R76" i="32"/>
  <c r="S76" i="32" s="1"/>
  <c r="C38" i="36"/>
  <c r="R77" i="32"/>
  <c r="S77" i="32"/>
  <c r="C39" i="36" s="1"/>
  <c r="R78" i="32"/>
  <c r="S78" i="32" s="1"/>
  <c r="C40" i="36"/>
  <c r="R79" i="32"/>
  <c r="S79" i="32"/>
  <c r="C41" i="36" s="1"/>
  <c r="R80" i="32"/>
  <c r="S80" i="32" s="1"/>
  <c r="C42" i="36"/>
  <c r="R81" i="32"/>
  <c r="S81" i="32"/>
  <c r="C43" i="36" s="1"/>
  <c r="R82" i="32"/>
  <c r="S82" i="32" s="1"/>
  <c r="C44" i="36"/>
  <c r="R83" i="32"/>
  <c r="S83" i="32"/>
  <c r="C45" i="36" s="1"/>
  <c r="R84" i="32"/>
  <c r="S84" i="32" s="1"/>
  <c r="C46" i="36"/>
  <c r="R85" i="32"/>
  <c r="S85" i="32"/>
  <c r="C47" i="36" s="1"/>
  <c r="R86" i="32"/>
  <c r="S86" i="32" s="1"/>
  <c r="C48" i="36"/>
  <c r="R87" i="32"/>
  <c r="S87" i="32"/>
  <c r="C49" i="36" s="1"/>
  <c r="R88" i="32"/>
  <c r="S88" i="32" s="1"/>
  <c r="C50" i="36"/>
  <c r="R89" i="32"/>
  <c r="S89" i="32"/>
  <c r="C51" i="36" s="1"/>
  <c r="R90" i="32"/>
  <c r="S90" i="32" s="1"/>
  <c r="C52" i="36"/>
  <c r="R91" i="32"/>
  <c r="S91" i="32"/>
  <c r="C53" i="36" s="1"/>
  <c r="R92" i="32"/>
  <c r="S92" i="32" s="1"/>
  <c r="C54" i="36"/>
  <c r="R93" i="32"/>
  <c r="S93" i="32"/>
  <c r="C55" i="36" s="1"/>
  <c r="R94" i="32"/>
  <c r="S94" i="32" s="1"/>
  <c r="C56" i="36"/>
  <c r="R95" i="32"/>
  <c r="S95" i="32"/>
  <c r="C57" i="36" s="1"/>
  <c r="R96" i="32"/>
  <c r="S96" i="32" s="1"/>
  <c r="C58" i="36"/>
  <c r="R97" i="32"/>
  <c r="S97" i="32"/>
  <c r="C59" i="36" s="1"/>
  <c r="R98" i="32"/>
  <c r="S98" i="32" s="1"/>
  <c r="C60" i="36"/>
  <c r="R99" i="32"/>
  <c r="S99" i="32"/>
  <c r="C61" i="36" s="1"/>
  <c r="R100" i="32"/>
  <c r="S100" i="32" s="1"/>
  <c r="C62" i="36"/>
  <c r="R101" i="32"/>
  <c r="S101" i="32"/>
  <c r="C63" i="36" s="1"/>
  <c r="R102" i="32"/>
  <c r="S102" i="32" s="1"/>
  <c r="C64" i="36"/>
  <c r="R103" i="32"/>
  <c r="S103" i="32"/>
  <c r="C65" i="36" s="1"/>
  <c r="R104" i="32"/>
  <c r="S104" i="32" s="1"/>
  <c r="C66" i="36"/>
  <c r="R105" i="32"/>
  <c r="S105" i="32"/>
  <c r="C67" i="36" s="1"/>
  <c r="R106" i="32"/>
  <c r="S106" i="32" s="1"/>
  <c r="C68" i="36"/>
  <c r="R107" i="32"/>
  <c r="S107" i="32"/>
  <c r="C69" i="36" s="1"/>
  <c r="R40" i="32"/>
  <c r="S40" i="32" s="1"/>
  <c r="C2" i="36"/>
  <c r="A66" i="36"/>
  <c r="A67" i="36"/>
  <c r="A68" i="36"/>
  <c r="A69" i="36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2" i="36"/>
  <c r="AL41" i="32"/>
  <c r="AM41" i="32"/>
  <c r="C3" i="39" s="1"/>
  <c r="AL42" i="32"/>
  <c r="AM42" i="32" s="1"/>
  <c r="C4" i="39"/>
  <c r="AL43" i="32"/>
  <c r="AM43" i="32"/>
  <c r="C5" i="39" s="1"/>
  <c r="AL44" i="32"/>
  <c r="AM44" i="32" s="1"/>
  <c r="C6" i="39"/>
  <c r="AL45" i="32"/>
  <c r="AM45" i="32"/>
  <c r="C7" i="39" s="1"/>
  <c r="AL46" i="32"/>
  <c r="AM46" i="32" s="1"/>
  <c r="C8" i="39"/>
  <c r="AL47" i="32"/>
  <c r="AM47" i="32"/>
  <c r="C9" i="39" s="1"/>
  <c r="AL48" i="32"/>
  <c r="AM48" i="32" s="1"/>
  <c r="C10" i="39"/>
  <c r="AL49" i="32"/>
  <c r="AM49" i="32"/>
  <c r="C11" i="39" s="1"/>
  <c r="AL50" i="32"/>
  <c r="AM50" i="32" s="1"/>
  <c r="C12" i="39"/>
  <c r="AL51" i="32"/>
  <c r="AM51" i="32"/>
  <c r="C13" i="39" s="1"/>
  <c r="AL52" i="32"/>
  <c r="AM52" i="32" s="1"/>
  <c r="C14" i="39"/>
  <c r="AL53" i="32"/>
  <c r="AM53" i="32"/>
  <c r="C15" i="39" s="1"/>
  <c r="AL54" i="32"/>
  <c r="AM54" i="32" s="1"/>
  <c r="C16" i="39"/>
  <c r="AL55" i="32"/>
  <c r="AM55" i="32"/>
  <c r="C17" i="39" s="1"/>
  <c r="AL56" i="32"/>
  <c r="AM56" i="32" s="1"/>
  <c r="C18" i="39"/>
  <c r="AL57" i="32"/>
  <c r="AM57" i="32"/>
  <c r="C19" i="39" s="1"/>
  <c r="AL58" i="32"/>
  <c r="AM58" i="32" s="1"/>
  <c r="C20" i="39"/>
  <c r="AL59" i="32"/>
  <c r="AM59" i="32"/>
  <c r="C21" i="39" s="1"/>
  <c r="AL60" i="32"/>
  <c r="AM60" i="32" s="1"/>
  <c r="C22" i="39"/>
  <c r="AL61" i="32"/>
  <c r="AM61" i="32"/>
  <c r="C23" i="39" s="1"/>
  <c r="AL62" i="32"/>
  <c r="AM62" i="32" s="1"/>
  <c r="C24" i="39"/>
  <c r="AL63" i="32"/>
  <c r="AM63" i="32"/>
  <c r="C25" i="39" s="1"/>
  <c r="AL64" i="32"/>
  <c r="AM64" i="32" s="1"/>
  <c r="C26" i="39"/>
  <c r="AL65" i="32"/>
  <c r="AM65" i="32"/>
  <c r="C27" i="39" s="1"/>
  <c r="AL66" i="32"/>
  <c r="AM66" i="32" s="1"/>
  <c r="C28" i="39" s="1"/>
  <c r="AL67" i="32"/>
  <c r="AM67" i="32"/>
  <c r="C29" i="39" s="1"/>
  <c r="AL68" i="32"/>
  <c r="AM68" i="32" s="1"/>
  <c r="C30" i="39"/>
  <c r="AL69" i="32"/>
  <c r="AM69" i="32"/>
  <c r="C31" i="39" s="1"/>
  <c r="AL70" i="32"/>
  <c r="AM70" i="32" s="1"/>
  <c r="C32" i="39" s="1"/>
  <c r="AL71" i="32"/>
  <c r="AM71" i="32"/>
  <c r="C33" i="39" s="1"/>
  <c r="AL72" i="32"/>
  <c r="AM72" i="32" s="1"/>
  <c r="C34" i="39" s="1"/>
  <c r="AL73" i="32"/>
  <c r="AM73" i="32"/>
  <c r="C35" i="39" s="1"/>
  <c r="AL74" i="32"/>
  <c r="AM74" i="32" s="1"/>
  <c r="C36" i="39" s="1"/>
  <c r="AL75" i="32"/>
  <c r="AM75" i="32"/>
  <c r="C37" i="39" s="1"/>
  <c r="AL76" i="32"/>
  <c r="AM76" i="32" s="1"/>
  <c r="C38" i="39"/>
  <c r="AL77" i="32"/>
  <c r="AM77" i="32"/>
  <c r="C39" i="39" s="1"/>
  <c r="AL78" i="32"/>
  <c r="AM78" i="32" s="1"/>
  <c r="C40" i="39" s="1"/>
  <c r="AL79" i="32"/>
  <c r="AM79" i="32"/>
  <c r="C41" i="39" s="1"/>
  <c r="AL80" i="32"/>
  <c r="AM80" i="32" s="1"/>
  <c r="C42" i="39"/>
  <c r="AL81" i="32"/>
  <c r="AM81" i="32"/>
  <c r="C43" i="39" s="1"/>
  <c r="AL82" i="32"/>
  <c r="AM82" i="32" s="1"/>
  <c r="C44" i="39" s="1"/>
  <c r="AL83" i="32"/>
  <c r="AM83" i="32"/>
  <c r="C45" i="39" s="1"/>
  <c r="AL84" i="32"/>
  <c r="AM84" i="32" s="1"/>
  <c r="C46" i="39"/>
  <c r="AL85" i="32"/>
  <c r="AM85" i="32"/>
  <c r="C47" i="39" s="1"/>
  <c r="AL86" i="32"/>
  <c r="AM86" i="32" s="1"/>
  <c r="C48" i="39" s="1"/>
  <c r="AL87" i="32"/>
  <c r="AM87" i="32"/>
  <c r="C49" i="39" s="1"/>
  <c r="AL88" i="32"/>
  <c r="AM88" i="32" s="1"/>
  <c r="C50" i="39" s="1"/>
  <c r="AL89" i="32"/>
  <c r="AM89" i="32"/>
  <c r="C51" i="39" s="1"/>
  <c r="AL90" i="32"/>
  <c r="AM90" i="32" s="1"/>
  <c r="C52" i="39" s="1"/>
  <c r="AL91" i="32"/>
  <c r="AM91" i="32"/>
  <c r="C53" i="39" s="1"/>
  <c r="AL92" i="32"/>
  <c r="AM92" i="32" s="1"/>
  <c r="C54" i="39"/>
  <c r="AL93" i="32"/>
  <c r="AM93" i="32"/>
  <c r="C55" i="39" s="1"/>
  <c r="AL94" i="32"/>
  <c r="AM94" i="32" s="1"/>
  <c r="C56" i="39" s="1"/>
  <c r="AL95" i="32"/>
  <c r="AM95" i="32"/>
  <c r="C57" i="39" s="1"/>
  <c r="AL96" i="32"/>
  <c r="AM96" i="32" s="1"/>
  <c r="C58" i="39"/>
  <c r="AL97" i="32"/>
  <c r="AM97" i="32"/>
  <c r="C59" i="39" s="1"/>
  <c r="AL98" i="32"/>
  <c r="AM98" i="32" s="1"/>
  <c r="C60" i="39" s="1"/>
  <c r="AL99" i="32"/>
  <c r="AM99" i="32"/>
  <c r="C61" i="39" s="1"/>
  <c r="AL100" i="32"/>
  <c r="AM100" i="32" s="1"/>
  <c r="C62" i="39"/>
  <c r="AL101" i="32"/>
  <c r="AM101" i="32"/>
  <c r="C63" i="39" s="1"/>
  <c r="AL102" i="32"/>
  <c r="AM102" i="32" s="1"/>
  <c r="C64" i="39" s="1"/>
  <c r="AL103" i="32"/>
  <c r="AM103" i="32"/>
  <c r="C65" i="39" s="1"/>
  <c r="AL104" i="32"/>
  <c r="AM104" i="32" s="1"/>
  <c r="C66" i="39" s="1"/>
  <c r="AL105" i="32"/>
  <c r="AM105" i="32"/>
  <c r="C67" i="39" s="1"/>
  <c r="AL106" i="32"/>
  <c r="AM106" i="32" s="1"/>
  <c r="C68" i="39" s="1"/>
  <c r="AL107" i="32"/>
  <c r="AM107" i="32"/>
  <c r="C69" i="39" s="1"/>
  <c r="AL40" i="32"/>
  <c r="AM40" i="32" s="1"/>
  <c r="C2" i="39"/>
  <c r="B3" i="39"/>
  <c r="B4" i="39"/>
  <c r="B5" i="39"/>
  <c r="B6" i="39"/>
  <c r="B7" i="39"/>
  <c r="B8" i="39"/>
  <c r="B9" i="39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45" i="39"/>
  <c r="B46" i="39"/>
  <c r="B47" i="39"/>
  <c r="B48" i="39"/>
  <c r="B49" i="39"/>
  <c r="B50" i="39"/>
  <c r="B51" i="39"/>
  <c r="B52" i="39"/>
  <c r="B53" i="39"/>
  <c r="B54" i="39"/>
  <c r="B55" i="39"/>
  <c r="B56" i="39"/>
  <c r="B57" i="39"/>
  <c r="B58" i="39"/>
  <c r="B59" i="39"/>
  <c r="B60" i="39"/>
  <c r="B61" i="39"/>
  <c r="B62" i="39"/>
  <c r="B63" i="39"/>
  <c r="B64" i="39"/>
  <c r="B65" i="39"/>
  <c r="B66" i="39"/>
  <c r="B67" i="39"/>
  <c r="B68" i="39"/>
  <c r="B69" i="39"/>
  <c r="B2" i="39"/>
  <c r="A3" i="39"/>
  <c r="A4" i="39"/>
  <c r="A5" i="39"/>
  <c r="A6" i="39"/>
  <c r="A7" i="39"/>
  <c r="A8" i="39"/>
  <c r="A9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2" i="39"/>
  <c r="AH40" i="32"/>
  <c r="AI40" i="32"/>
  <c r="C3" i="37" s="1"/>
  <c r="AH41" i="32"/>
  <c r="AI41" i="32" s="1"/>
  <c r="C4" i="37"/>
  <c r="AH42" i="32"/>
  <c r="AI42" i="32"/>
  <c r="C5" i="37" s="1"/>
  <c r="AH43" i="32"/>
  <c r="AI43" i="32" s="1"/>
  <c r="C6" i="37"/>
  <c r="AH44" i="32"/>
  <c r="AI44" i="32"/>
  <c r="C7" i="37" s="1"/>
  <c r="AH45" i="32"/>
  <c r="AI45" i="32" s="1"/>
  <c r="C8" i="37"/>
  <c r="AH46" i="32"/>
  <c r="AI46" i="32"/>
  <c r="C9" i="37" s="1"/>
  <c r="AH47" i="32"/>
  <c r="AI47" i="32" s="1"/>
  <c r="C10" i="37"/>
  <c r="AH48" i="32"/>
  <c r="AI48" i="32"/>
  <c r="C11" i="37" s="1"/>
  <c r="AH49" i="32"/>
  <c r="AI49" i="32" s="1"/>
  <c r="C12" i="37"/>
  <c r="AH50" i="32"/>
  <c r="AI50" i="32"/>
  <c r="C13" i="37" s="1"/>
  <c r="AH51" i="32"/>
  <c r="AI51" i="32" s="1"/>
  <c r="C14" i="37"/>
  <c r="AH52" i="32"/>
  <c r="AI52" i="32"/>
  <c r="C15" i="37" s="1"/>
  <c r="AH53" i="32"/>
  <c r="AI53" i="32" s="1"/>
  <c r="C16" i="37"/>
  <c r="AH54" i="32"/>
  <c r="AI54" i="32"/>
  <c r="C17" i="37" s="1"/>
  <c r="AH55" i="32"/>
  <c r="AI55" i="32" s="1"/>
  <c r="C18" i="37"/>
  <c r="AH56" i="32"/>
  <c r="AI56" i="32"/>
  <c r="C19" i="37" s="1"/>
  <c r="AH57" i="32"/>
  <c r="AI57" i="32" s="1"/>
  <c r="C20" i="37"/>
  <c r="AH58" i="32"/>
  <c r="AI58" i="32"/>
  <c r="C21" i="37" s="1"/>
  <c r="AH59" i="32"/>
  <c r="AI59" i="32" s="1"/>
  <c r="C22" i="37"/>
  <c r="AH60" i="32"/>
  <c r="AI60" i="32"/>
  <c r="C23" i="37" s="1"/>
  <c r="AH61" i="32"/>
  <c r="AI61" i="32" s="1"/>
  <c r="C24" i="37"/>
  <c r="AH62" i="32"/>
  <c r="AI62" i="32"/>
  <c r="C25" i="37" s="1"/>
  <c r="AH63" i="32"/>
  <c r="AI63" i="32" s="1"/>
  <c r="C26" i="37"/>
  <c r="AH64" i="32"/>
  <c r="AI64" i="32"/>
  <c r="C27" i="37" s="1"/>
  <c r="AH65" i="32"/>
  <c r="AI65" i="32" s="1"/>
  <c r="C28" i="37"/>
  <c r="AH66" i="32"/>
  <c r="AI66" i="32"/>
  <c r="C29" i="37" s="1"/>
  <c r="AH67" i="32"/>
  <c r="AI67" i="32" s="1"/>
  <c r="C30" i="37"/>
  <c r="AH68" i="32"/>
  <c r="AI68" i="32"/>
  <c r="C31" i="37" s="1"/>
  <c r="AH69" i="32"/>
  <c r="AI69" i="32" s="1"/>
  <c r="C32" i="37"/>
  <c r="AH70" i="32"/>
  <c r="AI70" i="32"/>
  <c r="C33" i="37" s="1"/>
  <c r="AH71" i="32"/>
  <c r="AI71" i="32" s="1"/>
  <c r="C34" i="37"/>
  <c r="AH72" i="32"/>
  <c r="AI72" i="32"/>
  <c r="C35" i="37" s="1"/>
  <c r="AH73" i="32"/>
  <c r="AI73" i="32" s="1"/>
  <c r="C36" i="37"/>
  <c r="AH74" i="32"/>
  <c r="AI74" i="32"/>
  <c r="C37" i="37" s="1"/>
  <c r="AH75" i="32"/>
  <c r="AI75" i="32" s="1"/>
  <c r="C38" i="37"/>
  <c r="AH76" i="32"/>
  <c r="AI76" i="32"/>
  <c r="C39" i="37" s="1"/>
  <c r="AH77" i="32"/>
  <c r="AI77" i="32" s="1"/>
  <c r="C40" i="37"/>
  <c r="AH78" i="32"/>
  <c r="AI78" i="32"/>
  <c r="C41" i="37" s="1"/>
  <c r="AH79" i="32"/>
  <c r="AI79" i="32" s="1"/>
  <c r="C42" i="37"/>
  <c r="AH80" i="32"/>
  <c r="AI80" i="32"/>
  <c r="C43" i="37" s="1"/>
  <c r="AH81" i="32"/>
  <c r="AI81" i="32" s="1"/>
  <c r="C44" i="37"/>
  <c r="AH82" i="32"/>
  <c r="AI82" i="32"/>
  <c r="C45" i="37" s="1"/>
  <c r="AH83" i="32"/>
  <c r="AI83" i="32" s="1"/>
  <c r="C46" i="37"/>
  <c r="AH84" i="32"/>
  <c r="AI84" i="32"/>
  <c r="C47" i="37" s="1"/>
  <c r="AH85" i="32"/>
  <c r="AI85" i="32" s="1"/>
  <c r="C48" i="37"/>
  <c r="AH86" i="32"/>
  <c r="AI86" i="32"/>
  <c r="C49" i="37" s="1"/>
  <c r="AH87" i="32"/>
  <c r="AI87" i="32" s="1"/>
  <c r="C50" i="37"/>
  <c r="AH88" i="32"/>
  <c r="AI88" i="32"/>
  <c r="C51" i="37" s="1"/>
  <c r="AH89" i="32"/>
  <c r="AI89" i="32" s="1"/>
  <c r="C52" i="37"/>
  <c r="AH90" i="32"/>
  <c r="AI90" i="32"/>
  <c r="C53" i="37" s="1"/>
  <c r="AH91" i="32"/>
  <c r="AI91" i="32" s="1"/>
  <c r="C54" i="37"/>
  <c r="AH92" i="32"/>
  <c r="AI92" i="32"/>
  <c r="C55" i="37" s="1"/>
  <c r="AH93" i="32"/>
  <c r="AI93" i="32" s="1"/>
  <c r="C56" i="37"/>
  <c r="AH94" i="32"/>
  <c r="AI94" i="32"/>
  <c r="C57" i="37" s="1"/>
  <c r="AH95" i="32"/>
  <c r="AI95" i="32" s="1"/>
  <c r="C58" i="37"/>
  <c r="AH96" i="32"/>
  <c r="AI96" i="32"/>
  <c r="C59" i="37" s="1"/>
  <c r="AH97" i="32"/>
  <c r="AI97" i="32" s="1"/>
  <c r="C60" i="37"/>
  <c r="AH98" i="32"/>
  <c r="AI98" i="32"/>
  <c r="C61" i="37" s="1"/>
  <c r="AH99" i="32"/>
  <c r="AI99" i="32" s="1"/>
  <c r="C62" i="37"/>
  <c r="AH100" i="32"/>
  <c r="AI100" i="32"/>
  <c r="C63" i="37" s="1"/>
  <c r="AH101" i="32"/>
  <c r="AI101" i="32" s="1"/>
  <c r="C64" i="37"/>
  <c r="AH102" i="32"/>
  <c r="AI102" i="32"/>
  <c r="C65" i="37" s="1"/>
  <c r="AH103" i="32"/>
  <c r="AI103" i="32" s="1"/>
  <c r="C66" i="37"/>
  <c r="AH104" i="32"/>
  <c r="AI104" i="32"/>
  <c r="C67" i="37" s="1"/>
  <c r="AH105" i="32"/>
  <c r="AI105" i="32" s="1"/>
  <c r="C68" i="37"/>
  <c r="AH106" i="32"/>
  <c r="AI106" i="32"/>
  <c r="C69" i="37" s="1"/>
  <c r="B3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C2" i="37"/>
  <c r="B2" i="37"/>
  <c r="C1" i="37"/>
  <c r="B1" i="37"/>
  <c r="A3" i="37"/>
  <c r="A4" i="37"/>
  <c r="A5" i="37"/>
  <c r="A6" i="37"/>
  <c r="A7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2" i="37"/>
  <c r="AH107" i="32"/>
  <c r="AI107" i="32"/>
  <c r="C8" i="32"/>
  <c r="N41" i="32"/>
  <c r="O41" i="32" s="1"/>
  <c r="C3" i="34"/>
  <c r="N42" i="32"/>
  <c r="O42" i="32"/>
  <c r="C4" i="34" s="1"/>
  <c r="N43" i="32"/>
  <c r="O43" i="32" s="1"/>
  <c r="C5" i="34"/>
  <c r="N44" i="32"/>
  <c r="O44" i="32"/>
  <c r="C6" i="34" s="1"/>
  <c r="N45" i="32"/>
  <c r="O45" i="32" s="1"/>
  <c r="C7" i="34"/>
  <c r="N46" i="32"/>
  <c r="O46" i="32"/>
  <c r="C8" i="34" s="1"/>
  <c r="N47" i="32"/>
  <c r="O47" i="32" s="1"/>
  <c r="C9" i="34" s="1"/>
  <c r="N48" i="32"/>
  <c r="O48" i="32"/>
  <c r="C10" i="34" s="1"/>
  <c r="N49" i="32"/>
  <c r="O49" i="32" s="1"/>
  <c r="C11" i="34" s="1"/>
  <c r="N50" i="32"/>
  <c r="O50" i="32"/>
  <c r="C12" i="34" s="1"/>
  <c r="N51" i="32"/>
  <c r="O51" i="32" s="1"/>
  <c r="C13" i="34" s="1"/>
  <c r="N52" i="32"/>
  <c r="O52" i="32"/>
  <c r="C14" i="34" s="1"/>
  <c r="N53" i="32"/>
  <c r="O53" i="32" s="1"/>
  <c r="C15" i="34" s="1"/>
  <c r="N54" i="32"/>
  <c r="O54" i="32"/>
  <c r="C16" i="34" s="1"/>
  <c r="N55" i="32"/>
  <c r="O55" i="32" s="1"/>
  <c r="C17" i="34" s="1"/>
  <c r="N56" i="32"/>
  <c r="O56" i="32"/>
  <c r="C18" i="34" s="1"/>
  <c r="N57" i="32"/>
  <c r="O57" i="32" s="1"/>
  <c r="C19" i="34" s="1"/>
  <c r="N58" i="32"/>
  <c r="O58" i="32"/>
  <c r="C20" i="34" s="1"/>
  <c r="N59" i="32"/>
  <c r="O59" i="32" s="1"/>
  <c r="C21" i="34" s="1"/>
  <c r="N60" i="32"/>
  <c r="O60" i="32"/>
  <c r="C22" i="34" s="1"/>
  <c r="N61" i="32"/>
  <c r="O61" i="32" s="1"/>
  <c r="C23" i="34" s="1"/>
  <c r="N62" i="32"/>
  <c r="O62" i="32"/>
  <c r="C24" i="34" s="1"/>
  <c r="N63" i="32"/>
  <c r="O63" i="32" s="1"/>
  <c r="C25" i="34" s="1"/>
  <c r="N64" i="32"/>
  <c r="O64" i="32"/>
  <c r="C26" i="34" s="1"/>
  <c r="N65" i="32"/>
  <c r="O65" i="32" s="1"/>
  <c r="C27" i="34" s="1"/>
  <c r="N66" i="32"/>
  <c r="O66" i="32"/>
  <c r="C28" i="34" s="1"/>
  <c r="N67" i="32"/>
  <c r="O67" i="32" s="1"/>
  <c r="C29" i="34" s="1"/>
  <c r="N68" i="32"/>
  <c r="O68" i="32"/>
  <c r="C30" i="34" s="1"/>
  <c r="N69" i="32"/>
  <c r="O69" i="32" s="1"/>
  <c r="C31" i="34" s="1"/>
  <c r="N70" i="32"/>
  <c r="O70" i="32"/>
  <c r="C32" i="34" s="1"/>
  <c r="N71" i="32"/>
  <c r="O71" i="32" s="1"/>
  <c r="C33" i="34" s="1"/>
  <c r="N72" i="32"/>
  <c r="O72" i="32"/>
  <c r="C34" i="34" s="1"/>
  <c r="N73" i="32"/>
  <c r="O73" i="32" s="1"/>
  <c r="C35" i="34" s="1"/>
  <c r="N74" i="32"/>
  <c r="O74" i="32"/>
  <c r="C36" i="34" s="1"/>
  <c r="N75" i="32"/>
  <c r="O75" i="32" s="1"/>
  <c r="C37" i="34" s="1"/>
  <c r="N76" i="32"/>
  <c r="O76" i="32"/>
  <c r="C38" i="34" s="1"/>
  <c r="N77" i="32"/>
  <c r="O77" i="32" s="1"/>
  <c r="C39" i="34" s="1"/>
  <c r="N78" i="32"/>
  <c r="O78" i="32"/>
  <c r="C40" i="34" s="1"/>
  <c r="N79" i="32"/>
  <c r="O79" i="32" s="1"/>
  <c r="C41" i="34" s="1"/>
  <c r="N80" i="32"/>
  <c r="O80" i="32"/>
  <c r="C42" i="34" s="1"/>
  <c r="N81" i="32"/>
  <c r="O81" i="32" s="1"/>
  <c r="C43" i="34" s="1"/>
  <c r="N82" i="32"/>
  <c r="O82" i="32"/>
  <c r="C44" i="34" s="1"/>
  <c r="N83" i="32"/>
  <c r="O83" i="32" s="1"/>
  <c r="C45" i="34" s="1"/>
  <c r="N84" i="32"/>
  <c r="O84" i="32"/>
  <c r="C46" i="34" s="1"/>
  <c r="N85" i="32"/>
  <c r="O85" i="32" s="1"/>
  <c r="C47" i="34" s="1"/>
  <c r="N86" i="32"/>
  <c r="O86" i="32"/>
  <c r="C48" i="34" s="1"/>
  <c r="N87" i="32"/>
  <c r="O87" i="32" s="1"/>
  <c r="C49" i="34" s="1"/>
  <c r="N88" i="32"/>
  <c r="O88" i="32"/>
  <c r="C50" i="34" s="1"/>
  <c r="N89" i="32"/>
  <c r="O89" i="32" s="1"/>
  <c r="C51" i="34" s="1"/>
  <c r="N90" i="32"/>
  <c r="O90" i="32"/>
  <c r="C52" i="34" s="1"/>
  <c r="N91" i="32"/>
  <c r="O91" i="32" s="1"/>
  <c r="C53" i="34" s="1"/>
  <c r="N92" i="32"/>
  <c r="O92" i="32"/>
  <c r="C54" i="34" s="1"/>
  <c r="N93" i="32"/>
  <c r="O93" i="32" s="1"/>
  <c r="C55" i="34" s="1"/>
  <c r="N94" i="32"/>
  <c r="O94" i="32"/>
  <c r="C56" i="34" s="1"/>
  <c r="N95" i="32"/>
  <c r="O95" i="32" s="1"/>
  <c r="C57" i="34" s="1"/>
  <c r="N96" i="32"/>
  <c r="O96" i="32"/>
  <c r="C58" i="34" s="1"/>
  <c r="N97" i="32"/>
  <c r="O97" i="32" s="1"/>
  <c r="C59" i="34" s="1"/>
  <c r="N98" i="32"/>
  <c r="O98" i="32"/>
  <c r="C60" i="34" s="1"/>
  <c r="N99" i="32"/>
  <c r="O99" i="32" s="1"/>
  <c r="C61" i="34" s="1"/>
  <c r="N100" i="32"/>
  <c r="O100" i="32"/>
  <c r="C62" i="34" s="1"/>
  <c r="N101" i="32"/>
  <c r="O101" i="32" s="1"/>
  <c r="C63" i="34" s="1"/>
  <c r="N102" i="32"/>
  <c r="O102" i="32"/>
  <c r="C64" i="34" s="1"/>
  <c r="N103" i="32"/>
  <c r="O103" i="32" s="1"/>
  <c r="C65" i="34" s="1"/>
  <c r="N104" i="32"/>
  <c r="O104" i="32"/>
  <c r="C66" i="34" s="1"/>
  <c r="N105" i="32"/>
  <c r="O105" i="32" s="1"/>
  <c r="C67" i="34" s="1"/>
  <c r="N106" i="32"/>
  <c r="O106" i="32"/>
  <c r="C68" i="34" s="1"/>
  <c r="N107" i="32"/>
  <c r="O107" i="32" s="1"/>
  <c r="C69" i="34" s="1"/>
  <c r="N40" i="32"/>
  <c r="O40" i="32"/>
  <c r="C2" i="34" s="1"/>
  <c r="A3" i="34"/>
  <c r="A4" i="34"/>
  <c r="A5" i="34"/>
  <c r="A6" i="34"/>
  <c r="A7" i="34"/>
  <c r="A8" i="34"/>
  <c r="A9" i="34"/>
  <c r="A10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64" i="34"/>
  <c r="A65" i="34"/>
  <c r="A66" i="34"/>
  <c r="A67" i="34"/>
  <c r="A68" i="34"/>
  <c r="A69" i="34"/>
  <c r="A2" i="34"/>
  <c r="B3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2" i="34"/>
  <c r="B10" i="32"/>
  <c r="E7" i="32"/>
  <c r="E8" i="32"/>
  <c r="E10" i="32"/>
  <c r="F7" i="32"/>
  <c r="F11" i="17"/>
  <c r="F8" i="32"/>
  <c r="F12" i="17"/>
  <c r="F9" i="32"/>
  <c r="F13" i="17"/>
  <c r="F10" i="32"/>
  <c r="B15" i="32"/>
  <c r="I4" i="32"/>
  <c r="I6" i="32"/>
  <c r="H4" i="32"/>
  <c r="H6" i="32"/>
  <c r="G4" i="32"/>
  <c r="G6" i="32"/>
  <c r="F4" i="32"/>
  <c r="F6" i="32"/>
  <c r="E4" i="32"/>
  <c r="E6" i="32"/>
  <c r="D4" i="32"/>
  <c r="D6" i="32"/>
  <c r="C4" i="32"/>
  <c r="C6" i="32"/>
  <c r="I12" i="32"/>
  <c r="I11" i="32"/>
  <c r="I10" i="32"/>
  <c r="I9" i="32"/>
  <c r="I7" i="32"/>
  <c r="H12" i="32"/>
  <c r="H10" i="32"/>
  <c r="H8" i="32"/>
  <c r="H7" i="32"/>
  <c r="G7" i="32"/>
  <c r="G8" i="32"/>
  <c r="G10" i="32"/>
  <c r="D12" i="32"/>
  <c r="D10" i="32"/>
  <c r="D8" i="32"/>
  <c r="D7" i="32"/>
  <c r="C10" i="32"/>
  <c r="N9" i="32"/>
  <c r="N8" i="32"/>
  <c r="O8" i="32" s="1"/>
  <c r="N7" i="32"/>
  <c r="N6" i="32"/>
  <c r="O6" i="32" s="1"/>
  <c r="N5" i="32"/>
  <c r="N4" i="32"/>
  <c r="O4" i="32" s="1"/>
  <c r="M9" i="32"/>
  <c r="M8" i="32"/>
  <c r="M6" i="32"/>
  <c r="M5" i="32"/>
  <c r="M4" i="32"/>
  <c r="L9" i="32"/>
  <c r="L8" i="32"/>
  <c r="L7" i="32"/>
  <c r="L6" i="32"/>
  <c r="L5" i="32"/>
  <c r="L4" i="32"/>
  <c r="O9" i="32"/>
  <c r="R35" i="22"/>
  <c r="S35" i="22"/>
  <c r="T35" i="22"/>
  <c r="U35" i="22"/>
  <c r="U59" i="22" s="1"/>
  <c r="C45" i="17"/>
  <c r="F31" i="17"/>
  <c r="E31" i="17"/>
  <c r="D31" i="17"/>
  <c r="B24" i="32"/>
  <c r="B25" i="32" s="1"/>
  <c r="E9" i="21"/>
  <c r="E8" i="22" s="1"/>
  <c r="E13" i="22" s="1"/>
  <c r="D9" i="21"/>
  <c r="D56" i="22" s="1"/>
  <c r="D61" i="22" s="1"/>
  <c r="B9" i="21"/>
  <c r="B56" i="22" s="1"/>
  <c r="B61" i="22" s="1"/>
  <c r="A4" i="33"/>
  <c r="A3" i="33"/>
  <c r="A2" i="33"/>
  <c r="B22" i="32"/>
  <c r="Q29" i="32"/>
  <c r="Q4" i="32"/>
  <c r="O5" i="32"/>
  <c r="T59" i="22"/>
  <c r="S59" i="22"/>
  <c r="R59" i="22"/>
  <c r="U56" i="22"/>
  <c r="T56" i="22"/>
  <c r="S56" i="22"/>
  <c r="F59" i="22"/>
  <c r="F62" i="22"/>
  <c r="E10" i="21"/>
  <c r="E57" i="22" s="1"/>
  <c r="E59" i="22"/>
  <c r="E62" i="22"/>
  <c r="D59" i="22"/>
  <c r="D62" i="22"/>
  <c r="C62" i="22"/>
  <c r="B62" i="22"/>
  <c r="B63" i="22"/>
  <c r="E5" i="21"/>
  <c r="E4" i="22" s="1"/>
  <c r="D5" i="21"/>
  <c r="D28" i="22" s="1"/>
  <c r="C5" i="21"/>
  <c r="C28" i="22" s="1"/>
  <c r="B5" i="21"/>
  <c r="B52" i="22" s="1"/>
  <c r="B53" i="22" s="1"/>
  <c r="F51" i="22"/>
  <c r="F35" i="22"/>
  <c r="F38" i="22"/>
  <c r="E35" i="22"/>
  <c r="E38" i="22"/>
  <c r="D35" i="22"/>
  <c r="D38" i="22"/>
  <c r="C38" i="22"/>
  <c r="B38" i="22"/>
  <c r="B39" i="22"/>
  <c r="F27" i="22"/>
  <c r="B15" i="22"/>
  <c r="B16" i="21" s="1"/>
  <c r="F11" i="22"/>
  <c r="E11" i="22"/>
  <c r="D11" i="22"/>
  <c r="C34" i="27"/>
  <c r="J8" i="23" s="1"/>
  <c r="J5" i="23"/>
  <c r="J14" i="25"/>
  <c r="J18" i="25" s="1"/>
  <c r="D35" i="25" s="1"/>
  <c r="J6" i="23" s="1"/>
  <c r="J14" i="26"/>
  <c r="J18" i="26" s="1"/>
  <c r="D35" i="26" s="1"/>
  <c r="J7" i="23" s="1"/>
  <c r="J17" i="26"/>
  <c r="J15" i="28"/>
  <c r="D35" i="31"/>
  <c r="J10" i="23" s="1"/>
  <c r="J11" i="23"/>
  <c r="J12" i="23"/>
  <c r="C28" i="27"/>
  <c r="G8" i="23" s="1"/>
  <c r="D29" i="31"/>
  <c r="G10" i="23"/>
  <c r="J17" i="23"/>
  <c r="F10" i="23"/>
  <c r="E10" i="23"/>
  <c r="C10" i="23"/>
  <c r="B10" i="23"/>
  <c r="J44" i="31"/>
  <c r="I44" i="31"/>
  <c r="H44" i="31"/>
  <c r="G44" i="31"/>
  <c r="J36" i="31"/>
  <c r="I36" i="31"/>
  <c r="H36" i="31"/>
  <c r="G36" i="31"/>
  <c r="J32" i="31"/>
  <c r="I32" i="31"/>
  <c r="H32" i="31"/>
  <c r="G32" i="31"/>
  <c r="J26" i="31"/>
  <c r="I26" i="31"/>
  <c r="H26" i="31"/>
  <c r="G26" i="31"/>
  <c r="P25" i="31"/>
  <c r="P29" i="31"/>
  <c r="P34" i="31" s="1"/>
  <c r="Q15" i="31"/>
  <c r="Q20" i="31"/>
  <c r="P15" i="31"/>
  <c r="P20" i="31" s="1"/>
  <c r="D13" i="31"/>
  <c r="Q6" i="31"/>
  <c r="P6" i="31"/>
  <c r="J23" i="31"/>
  <c r="I5" i="31"/>
  <c r="I23" i="31"/>
  <c r="H5" i="31"/>
  <c r="H23" i="31" s="1"/>
  <c r="G5" i="31"/>
  <c r="G23" i="31"/>
  <c r="Q4" i="31"/>
  <c r="P4" i="31"/>
  <c r="Q34" i="31"/>
  <c r="G8" i="31"/>
  <c r="G10" i="31" s="1"/>
  <c r="G15" i="31" s="1"/>
  <c r="I8" i="31"/>
  <c r="I10" i="31"/>
  <c r="I15" i="31" s="1"/>
  <c r="I28" i="31"/>
  <c r="J28" i="31"/>
  <c r="J10" i="31"/>
  <c r="J15" i="31" s="1"/>
  <c r="E7" i="23"/>
  <c r="E6" i="23"/>
  <c r="E12" i="23"/>
  <c r="E8" i="23"/>
  <c r="E11" i="23"/>
  <c r="D13" i="29"/>
  <c r="D11" i="23" s="1"/>
  <c r="D13" i="30"/>
  <c r="D12" i="23"/>
  <c r="C12" i="23"/>
  <c r="C11" i="23"/>
  <c r="B12" i="23"/>
  <c r="B11" i="23"/>
  <c r="A12" i="23"/>
  <c r="A11" i="23"/>
  <c r="H5" i="28"/>
  <c r="H9" i="28"/>
  <c r="H15" i="28" s="1"/>
  <c r="I5" i="28"/>
  <c r="I9" i="28" s="1"/>
  <c r="I7" i="28"/>
  <c r="J43" i="30"/>
  <c r="I43" i="30"/>
  <c r="H43" i="30"/>
  <c r="G43" i="30"/>
  <c r="N40" i="30"/>
  <c r="H35" i="30"/>
  <c r="G35" i="30"/>
  <c r="J33" i="30"/>
  <c r="I33" i="30"/>
  <c r="I34" i="30" s="1"/>
  <c r="I35" i="30" s="1"/>
  <c r="J31" i="30"/>
  <c r="I31" i="30"/>
  <c r="H31" i="30"/>
  <c r="G31" i="30"/>
  <c r="P28" i="30"/>
  <c r="H27" i="30"/>
  <c r="J25" i="30"/>
  <c r="I25" i="30"/>
  <c r="H25" i="30"/>
  <c r="G25" i="30"/>
  <c r="P24" i="30"/>
  <c r="P23" i="30"/>
  <c r="P25" i="30" s="1"/>
  <c r="P29" i="30" s="1"/>
  <c r="P34" i="30" s="1"/>
  <c r="J22" i="30"/>
  <c r="I22" i="30"/>
  <c r="H22" i="30"/>
  <c r="Q19" i="30"/>
  <c r="P19" i="30"/>
  <c r="Q18" i="30"/>
  <c r="P18" i="30"/>
  <c r="Q17" i="30"/>
  <c r="P17" i="30"/>
  <c r="Q14" i="30"/>
  <c r="Q15" i="30" s="1"/>
  <c r="P14" i="30"/>
  <c r="Q12" i="30"/>
  <c r="P12" i="30"/>
  <c r="P15" i="30" s="1"/>
  <c r="P20" i="30" s="1"/>
  <c r="P35" i="30" s="1"/>
  <c r="J11" i="30"/>
  <c r="J14" i="30" s="1"/>
  <c r="J9" i="30"/>
  <c r="I9" i="30"/>
  <c r="I7" i="30"/>
  <c r="Q6" i="30"/>
  <c r="P6" i="30"/>
  <c r="I6" i="30"/>
  <c r="I8" i="30"/>
  <c r="I27" i="30" s="1"/>
  <c r="G5" i="30"/>
  <c r="G22" i="30" s="1"/>
  <c r="Q4" i="30"/>
  <c r="P4" i="30"/>
  <c r="J4" i="30"/>
  <c r="I4" i="30"/>
  <c r="H43" i="29"/>
  <c r="G43" i="29"/>
  <c r="H35" i="29"/>
  <c r="G35" i="29"/>
  <c r="J31" i="29"/>
  <c r="I31" i="29"/>
  <c r="H31" i="29"/>
  <c r="G31" i="29"/>
  <c r="P28" i="29"/>
  <c r="P27" i="29"/>
  <c r="N40" i="29"/>
  <c r="J25" i="29"/>
  <c r="I25" i="29"/>
  <c r="H25" i="29"/>
  <c r="G25" i="29"/>
  <c r="P24" i="29"/>
  <c r="Q34" i="29"/>
  <c r="P22" i="29"/>
  <c r="P25" i="29"/>
  <c r="P29" i="29" s="1"/>
  <c r="P34" i="29" s="1"/>
  <c r="Q19" i="29"/>
  <c r="P19" i="29"/>
  <c r="Q18" i="29"/>
  <c r="P18" i="29"/>
  <c r="Q12" i="29"/>
  <c r="Q15" i="29" s="1"/>
  <c r="P12" i="29"/>
  <c r="P15" i="29"/>
  <c r="P20" i="29" s="1"/>
  <c r="J11" i="29"/>
  <c r="I11" i="29"/>
  <c r="J9" i="29"/>
  <c r="I9" i="29"/>
  <c r="I7" i="29"/>
  <c r="I6" i="29"/>
  <c r="I8" i="29" s="1"/>
  <c r="Q5" i="29"/>
  <c r="Q6" i="29" s="1"/>
  <c r="P5" i="29"/>
  <c r="P6" i="29"/>
  <c r="J22" i="29"/>
  <c r="I5" i="29"/>
  <c r="I22" i="29" s="1"/>
  <c r="H5" i="29"/>
  <c r="H8" i="29" s="1"/>
  <c r="H27" i="29" s="1"/>
  <c r="H22" i="29"/>
  <c r="G5" i="29"/>
  <c r="G22" i="29" s="1"/>
  <c r="Q4" i="29"/>
  <c r="P4" i="29"/>
  <c r="J27" i="30"/>
  <c r="J34" i="30"/>
  <c r="J35" i="30"/>
  <c r="G8" i="29"/>
  <c r="G27" i="29" s="1"/>
  <c r="J34" i="29"/>
  <c r="J35" i="29" s="1"/>
  <c r="J27" i="29"/>
  <c r="J14" i="29"/>
  <c r="J42" i="29" s="1"/>
  <c r="J43" i="29" s="1"/>
  <c r="C24" i="23"/>
  <c r="C23" i="23"/>
  <c r="C9" i="23"/>
  <c r="A9" i="23"/>
  <c r="J44" i="28"/>
  <c r="I44" i="28"/>
  <c r="H44" i="28"/>
  <c r="G44" i="28"/>
  <c r="N40" i="28"/>
  <c r="J36" i="28"/>
  <c r="I36" i="28"/>
  <c r="H36" i="28"/>
  <c r="G36" i="28"/>
  <c r="J32" i="28"/>
  <c r="I32" i="28"/>
  <c r="H32" i="28"/>
  <c r="G32" i="28"/>
  <c r="Q34" i="28"/>
  <c r="P25" i="28"/>
  <c r="P29" i="28" s="1"/>
  <c r="P34" i="28" s="1"/>
  <c r="J26" i="28"/>
  <c r="I26" i="28"/>
  <c r="H26" i="28"/>
  <c r="G26" i="28"/>
  <c r="N39" i="28"/>
  <c r="Q15" i="28"/>
  <c r="Q20" i="28"/>
  <c r="P15" i="28"/>
  <c r="P20" i="28" s="1"/>
  <c r="P35" i="28" s="1"/>
  <c r="Q6" i="28"/>
  <c r="P6" i="28"/>
  <c r="O6" i="28"/>
  <c r="N6" i="28"/>
  <c r="J23" i="28"/>
  <c r="H23" i="28"/>
  <c r="G5" i="28"/>
  <c r="G9" i="28"/>
  <c r="G28" i="28"/>
  <c r="Q4" i="28"/>
  <c r="P4" i="28"/>
  <c r="O4" i="28"/>
  <c r="N4" i="28"/>
  <c r="Q35" i="28"/>
  <c r="G23" i="28"/>
  <c r="I23" i="28"/>
  <c r="J28" i="28"/>
  <c r="E31" i="5"/>
  <c r="E36" i="5" s="1"/>
  <c r="E39" i="5" s="1"/>
  <c r="E40" i="5" s="1"/>
  <c r="D13" i="26"/>
  <c r="D7" i="23"/>
  <c r="D13" i="25"/>
  <c r="D6" i="23" s="1"/>
  <c r="C7" i="23"/>
  <c r="C6" i="23"/>
  <c r="C5" i="23"/>
  <c r="B7" i="23"/>
  <c r="B6" i="23"/>
  <c r="B5" i="23"/>
  <c r="A7" i="23"/>
  <c r="A6" i="23"/>
  <c r="A5" i="23"/>
  <c r="C8" i="23"/>
  <c r="B8" i="23"/>
  <c r="A8" i="23"/>
  <c r="C13" i="27"/>
  <c r="D8" i="23"/>
  <c r="O14" i="27"/>
  <c r="O19" i="27" s="1"/>
  <c r="N14" i="27"/>
  <c r="N19" i="27"/>
  <c r="N34" i="27"/>
  <c r="I22" i="27"/>
  <c r="I24" i="27"/>
  <c r="I25" i="27"/>
  <c r="H24" i="27"/>
  <c r="H25" i="27" s="1"/>
  <c r="G22" i="27"/>
  <c r="F5" i="27"/>
  <c r="F24" i="27"/>
  <c r="F25" i="27" s="1"/>
  <c r="F22" i="27"/>
  <c r="H22" i="27"/>
  <c r="G24" i="27"/>
  <c r="G25" i="27"/>
  <c r="F8" i="27"/>
  <c r="F14" i="27" s="1"/>
  <c r="F37" i="27" s="1"/>
  <c r="F42" i="27" s="1"/>
  <c r="F43" i="27" s="1"/>
  <c r="C22" i="23"/>
  <c r="N40" i="26"/>
  <c r="Q19" i="26"/>
  <c r="N39" i="26"/>
  <c r="J35" i="26"/>
  <c r="H33" i="26"/>
  <c r="H5" i="26"/>
  <c r="H7" i="26"/>
  <c r="H8" i="26"/>
  <c r="H34" i="26" s="1"/>
  <c r="H35" i="26" s="1"/>
  <c r="I33" i="26"/>
  <c r="G33" i="26"/>
  <c r="G34" i="26" s="1"/>
  <c r="G35" i="26" s="1"/>
  <c r="G5" i="26"/>
  <c r="G7" i="26"/>
  <c r="G8" i="26"/>
  <c r="G27" i="26" s="1"/>
  <c r="J31" i="26"/>
  <c r="P28" i="26"/>
  <c r="P25" i="26"/>
  <c r="P29" i="26"/>
  <c r="P34" i="26"/>
  <c r="J25" i="26"/>
  <c r="I25" i="26"/>
  <c r="H25" i="26"/>
  <c r="G25" i="26"/>
  <c r="Q34" i="26"/>
  <c r="Q14" i="26"/>
  <c r="Q15" i="26"/>
  <c r="Q20" i="26"/>
  <c r="Q35" i="26" s="1"/>
  <c r="P19" i="26"/>
  <c r="P14" i="26"/>
  <c r="P15" i="26"/>
  <c r="P20" i="26" s="1"/>
  <c r="P35" i="26" s="1"/>
  <c r="J27" i="26"/>
  <c r="I5" i="26"/>
  <c r="I7" i="26"/>
  <c r="I8" i="26"/>
  <c r="I14" i="26" s="1"/>
  <c r="I42" i="26" s="1"/>
  <c r="I43" i="26" s="1"/>
  <c r="I30" i="26"/>
  <c r="I31" i="26" s="1"/>
  <c r="G14" i="26"/>
  <c r="G42" i="26"/>
  <c r="G43" i="26" s="1"/>
  <c r="Q6" i="26"/>
  <c r="P6" i="26"/>
  <c r="O6" i="26"/>
  <c r="N6" i="26"/>
  <c r="J22" i="26"/>
  <c r="I22" i="26"/>
  <c r="H22" i="26"/>
  <c r="G22" i="26"/>
  <c r="Q4" i="26"/>
  <c r="P4" i="26"/>
  <c r="O4" i="26"/>
  <c r="N4" i="26"/>
  <c r="I5" i="25"/>
  <c r="I7" i="25"/>
  <c r="I8" i="25"/>
  <c r="I14" i="25" s="1"/>
  <c r="I42" i="25" s="1"/>
  <c r="I43" i="25" s="1"/>
  <c r="N40" i="25"/>
  <c r="I33" i="25"/>
  <c r="I34" i="25" s="1"/>
  <c r="I35" i="25" s="1"/>
  <c r="H33" i="25"/>
  <c r="H34" i="25" s="1"/>
  <c r="H35" i="25" s="1"/>
  <c r="G33" i="25"/>
  <c r="J25" i="25"/>
  <c r="I25" i="25"/>
  <c r="H25" i="25"/>
  <c r="G25" i="25"/>
  <c r="Q34" i="25"/>
  <c r="P23" i="25"/>
  <c r="P25" i="25"/>
  <c r="P29" i="25"/>
  <c r="P34" i="25"/>
  <c r="I22" i="25"/>
  <c r="G5" i="25"/>
  <c r="G22" i="25"/>
  <c r="Q15" i="25"/>
  <c r="Q20" i="25" s="1"/>
  <c r="Q35" i="25" s="1"/>
  <c r="P15" i="25"/>
  <c r="P20" i="25"/>
  <c r="J27" i="25"/>
  <c r="H5" i="25"/>
  <c r="H8" i="25" s="1"/>
  <c r="H7" i="25"/>
  <c r="G7" i="25"/>
  <c r="G8" i="25" s="1"/>
  <c r="Q6" i="25"/>
  <c r="P6" i="25"/>
  <c r="O6" i="25"/>
  <c r="N6" i="25"/>
  <c r="J22" i="25"/>
  <c r="Q4" i="25"/>
  <c r="P4" i="25"/>
  <c r="O4" i="25"/>
  <c r="N4" i="25"/>
  <c r="J43" i="24"/>
  <c r="I43" i="24"/>
  <c r="H43" i="24"/>
  <c r="G43" i="24"/>
  <c r="N40" i="24"/>
  <c r="J35" i="24"/>
  <c r="I35" i="24"/>
  <c r="H35" i="24"/>
  <c r="G35" i="24"/>
  <c r="J31" i="24"/>
  <c r="I31" i="24"/>
  <c r="H31" i="24"/>
  <c r="G31" i="24"/>
  <c r="Q34" i="24"/>
  <c r="P28" i="24"/>
  <c r="P25" i="24"/>
  <c r="P29" i="24"/>
  <c r="P34" i="24"/>
  <c r="J25" i="24"/>
  <c r="I25" i="24"/>
  <c r="H25" i="24"/>
  <c r="G25" i="24"/>
  <c r="J22" i="24"/>
  <c r="I5" i="24"/>
  <c r="I22" i="24"/>
  <c r="H5" i="24"/>
  <c r="H22" i="24" s="1"/>
  <c r="Q19" i="24"/>
  <c r="P19" i="24"/>
  <c r="P20" i="24" s="1"/>
  <c r="P35" i="24" s="1"/>
  <c r="P12" i="24"/>
  <c r="P15" i="24"/>
  <c r="D13" i="24"/>
  <c r="D5" i="23"/>
  <c r="Q12" i="24"/>
  <c r="Q15" i="24"/>
  <c r="Q20" i="24" s="1"/>
  <c r="Q35" i="24" s="1"/>
  <c r="Q6" i="24"/>
  <c r="P6" i="24"/>
  <c r="O6" i="24"/>
  <c r="N6" i="24"/>
  <c r="J27" i="24"/>
  <c r="I8" i="24"/>
  <c r="I27" i="24"/>
  <c r="H8" i="24"/>
  <c r="H27" i="24" s="1"/>
  <c r="G5" i="24"/>
  <c r="G8" i="24"/>
  <c r="G27" i="24"/>
  <c r="Q4" i="24"/>
  <c r="P4" i="24"/>
  <c r="O4" i="24"/>
  <c r="N4" i="24"/>
  <c r="G15" i="21"/>
  <c r="F8" i="23"/>
  <c r="E5" i="23"/>
  <c r="H27" i="27"/>
  <c r="H30" i="27" s="1"/>
  <c r="G27" i="27"/>
  <c r="G30" i="27"/>
  <c r="G34" i="27" s="1"/>
  <c r="G35" i="27" s="1"/>
  <c r="F27" i="27"/>
  <c r="F30" i="27" s="1"/>
  <c r="F10" i="27"/>
  <c r="P35" i="25"/>
  <c r="G22" i="24"/>
  <c r="I34" i="26"/>
  <c r="I35" i="26" s="1"/>
  <c r="I27" i="26"/>
  <c r="A13" i="14"/>
  <c r="A14" i="14"/>
  <c r="A15" i="14"/>
  <c r="A16" i="14"/>
  <c r="A17" i="14"/>
  <c r="A18" i="14"/>
  <c r="I31" i="27"/>
  <c r="G31" i="27"/>
  <c r="I37" i="27"/>
  <c r="I42" i="27"/>
  <c r="I43" i="27" s="1"/>
  <c r="G37" i="27"/>
  <c r="G42" i="27" s="1"/>
  <c r="G43" i="27" s="1"/>
  <c r="J42" i="25"/>
  <c r="J43" i="25" s="1"/>
  <c r="I35" i="27"/>
  <c r="C36" i="14"/>
  <c r="A11" i="14"/>
  <c r="C37" i="14"/>
  <c r="A10" i="14"/>
  <c r="A9" i="14"/>
  <c r="A8" i="14"/>
  <c r="E26" i="14"/>
  <c r="E25" i="14"/>
  <c r="H39" i="5"/>
  <c r="F3" i="22"/>
  <c r="F5" i="14"/>
  <c r="F29" i="14" s="1"/>
  <c r="E5" i="14"/>
  <c r="E29" i="14" s="1"/>
  <c r="D5" i="14"/>
  <c r="C29" i="14"/>
  <c r="F3" i="14"/>
  <c r="F30" i="14" s="1"/>
  <c r="E3" i="14"/>
  <c r="E36" i="14" s="1"/>
  <c r="D3" i="14"/>
  <c r="D34" i="14" s="1"/>
  <c r="D31" i="14"/>
  <c r="F36" i="14"/>
  <c r="F37" i="14"/>
  <c r="F28" i="14"/>
  <c r="D14" i="22"/>
  <c r="C14" i="22"/>
  <c r="E14" i="22"/>
  <c r="G62" i="7"/>
  <c r="F23" i="5"/>
  <c r="F24" i="5"/>
  <c r="H10" i="5"/>
  <c r="F56" i="6"/>
  <c r="F57" i="6" s="1"/>
  <c r="F31" i="6"/>
  <c r="C4" i="14"/>
  <c r="D62" i="7"/>
  <c r="E62" i="7"/>
  <c r="F62" i="7"/>
  <c r="C21" i="6"/>
  <c r="D21" i="6"/>
  <c r="E21" i="6"/>
  <c r="F21" i="6"/>
  <c r="C31" i="6"/>
  <c r="C32" i="6" s="1"/>
  <c r="D31" i="6"/>
  <c r="E31" i="6"/>
  <c r="C56" i="6"/>
  <c r="D56" i="6"/>
  <c r="D57" i="6" s="1"/>
  <c r="E56" i="6"/>
  <c r="C68" i="6"/>
  <c r="C70" i="6" s="1"/>
  <c r="D68" i="6"/>
  <c r="D70" i="6"/>
  <c r="E68" i="6"/>
  <c r="E70" i="6" s="1"/>
  <c r="F68" i="6"/>
  <c r="F70" i="6" s="1"/>
  <c r="B11" i="5"/>
  <c r="E26" i="5"/>
  <c r="E11" i="5"/>
  <c r="D11" i="5"/>
  <c r="E14" i="5"/>
  <c r="B14" i="22"/>
  <c r="G47" i="7" l="1"/>
  <c r="G17" i="7"/>
  <c r="G31" i="7"/>
  <c r="G68" i="7" s="1"/>
  <c r="F18" i="21" s="1"/>
  <c r="C68" i="7"/>
  <c r="C67" i="7"/>
  <c r="E7" i="14"/>
  <c r="E78" i="6"/>
  <c r="D28" i="14"/>
  <c r="C34" i="14"/>
  <c r="C79" i="6"/>
  <c r="D71" i="6"/>
  <c r="F32" i="6"/>
  <c r="F71" i="6"/>
  <c r="C30" i="14"/>
  <c r="C28" i="14"/>
  <c r="H10" i="14"/>
  <c r="F7" i="14"/>
  <c r="C31" i="14"/>
  <c r="H18" i="14"/>
  <c r="C7" i="14"/>
  <c r="H7" i="14" s="1"/>
  <c r="H8" i="14"/>
  <c r="F12" i="14"/>
  <c r="E32" i="6"/>
  <c r="D32" i="6"/>
  <c r="D72" i="6" s="1"/>
  <c r="C57" i="6"/>
  <c r="C71" i="6" s="1"/>
  <c r="C72" i="6" s="1"/>
  <c r="D12" i="14"/>
  <c r="D19" i="14" s="1"/>
  <c r="D82" i="6" s="1"/>
  <c r="D83" i="6" s="1"/>
  <c r="G57" i="6"/>
  <c r="G71" i="6" s="1"/>
  <c r="C12" i="16" s="1"/>
  <c r="E57" i="6"/>
  <c r="E71" i="6" s="1"/>
  <c r="E72" i="6" s="1"/>
  <c r="E79" i="6"/>
  <c r="F6" i="14"/>
  <c r="F32" i="14"/>
  <c r="F34" i="14"/>
  <c r="D31" i="5"/>
  <c r="D36" i="5" s="1"/>
  <c r="D39" i="5" s="1"/>
  <c r="D40" i="5" s="1"/>
  <c r="D26" i="5"/>
  <c r="D10" i="21"/>
  <c r="D57" i="22" s="1"/>
  <c r="D60" i="22" s="1"/>
  <c r="B31" i="5"/>
  <c r="B36" i="5" s="1"/>
  <c r="B39" i="5" s="1"/>
  <c r="B40" i="5" s="1"/>
  <c r="F10" i="5"/>
  <c r="F11" i="5" s="1"/>
  <c r="F27" i="14"/>
  <c r="F35" i="14"/>
  <c r="F31" i="14"/>
  <c r="F38" i="14"/>
  <c r="C25" i="5"/>
  <c r="C10" i="21" s="1"/>
  <c r="E27" i="14"/>
  <c r="E37" i="14"/>
  <c r="E6" i="14"/>
  <c r="D6" i="14"/>
  <c r="E35" i="14"/>
  <c r="E31" i="14"/>
  <c r="H3" i="14"/>
  <c r="G31" i="14"/>
  <c r="I31" i="14" s="1"/>
  <c r="J31" i="14" s="1"/>
  <c r="K31" i="14" s="1"/>
  <c r="L31" i="14" s="1"/>
  <c r="G32" i="14"/>
  <c r="I32" i="14" s="1"/>
  <c r="J32" i="14" s="1"/>
  <c r="K32" i="14" s="1"/>
  <c r="L32" i="14" s="1"/>
  <c r="G27" i="14"/>
  <c r="I27" i="14" s="1"/>
  <c r="J27" i="14" s="1"/>
  <c r="K27" i="14" s="1"/>
  <c r="L27" i="14" s="1"/>
  <c r="G4" i="14"/>
  <c r="E32" i="14"/>
  <c r="G35" i="14"/>
  <c r="I35" i="14" s="1"/>
  <c r="J35" i="14" s="1"/>
  <c r="K35" i="14" s="1"/>
  <c r="L35" i="14" s="1"/>
  <c r="C6" i="14"/>
  <c r="F56" i="22"/>
  <c r="F61" i="22" s="1"/>
  <c r="D13" i="5"/>
  <c r="D7" i="21" s="1"/>
  <c r="D54" i="22" s="1"/>
  <c r="D29" i="14"/>
  <c r="F14" i="21"/>
  <c r="C26" i="5"/>
  <c r="F32" i="22"/>
  <c r="F37" i="22" s="1"/>
  <c r="F5" i="21"/>
  <c r="F52" i="22" s="1"/>
  <c r="G52" i="22" s="1"/>
  <c r="G34" i="14"/>
  <c r="I34" i="14" s="1"/>
  <c r="J34" i="14" s="1"/>
  <c r="K34" i="14" s="1"/>
  <c r="L34" i="14" s="1"/>
  <c r="D37" i="14"/>
  <c r="D14" i="5"/>
  <c r="D27" i="14"/>
  <c r="E28" i="14"/>
  <c r="E34" i="14"/>
  <c r="E38" i="14"/>
  <c r="D38" i="14"/>
  <c r="D4" i="14"/>
  <c r="F4" i="14"/>
  <c r="E30" i="14"/>
  <c r="D36" i="14"/>
  <c r="C52" i="22"/>
  <c r="C53" i="22" s="1"/>
  <c r="E28" i="22"/>
  <c r="E29" i="22" s="1"/>
  <c r="B6" i="21"/>
  <c r="B4" i="22"/>
  <c r="B5" i="22" s="1"/>
  <c r="E44" i="21"/>
  <c r="F44" i="21" s="1"/>
  <c r="E8" i="21"/>
  <c r="E32" i="22"/>
  <c r="E37" i="22" s="1"/>
  <c r="E6" i="22"/>
  <c r="E7" i="22" s="1"/>
  <c r="B32" i="22"/>
  <c r="B37" i="22" s="1"/>
  <c r="E52" i="22"/>
  <c r="B8" i="22"/>
  <c r="B13" i="22" s="1"/>
  <c r="B14" i="21"/>
  <c r="C56" i="22"/>
  <c r="C61" i="22" s="1"/>
  <c r="C14" i="21"/>
  <c r="B28" i="22"/>
  <c r="B29" i="22" s="1"/>
  <c r="E55" i="22"/>
  <c r="C32" i="22"/>
  <c r="C37" i="22" s="1"/>
  <c r="E56" i="22"/>
  <c r="E61" i="22" s="1"/>
  <c r="E14" i="21"/>
  <c r="E6" i="21"/>
  <c r="C6" i="21"/>
  <c r="D6" i="21"/>
  <c r="D11" i="21"/>
  <c r="C4" i="22"/>
  <c r="H14" i="25"/>
  <c r="H42" i="25" s="1"/>
  <c r="H43" i="25" s="1"/>
  <c r="H27" i="25"/>
  <c r="H30" i="25"/>
  <c r="H31" i="25" s="1"/>
  <c r="D29" i="22"/>
  <c r="E58" i="22"/>
  <c r="E60" i="22"/>
  <c r="H31" i="27"/>
  <c r="H34" i="27"/>
  <c r="H35" i="27" s="1"/>
  <c r="F34" i="27"/>
  <c r="F35" i="27" s="1"/>
  <c r="F31" i="27"/>
  <c r="G34" i="25"/>
  <c r="G35" i="25" s="1"/>
  <c r="G27" i="25"/>
  <c r="G30" i="25"/>
  <c r="G31" i="25" s="1"/>
  <c r="G14" i="25"/>
  <c r="G42" i="25" s="1"/>
  <c r="G43" i="25" s="1"/>
  <c r="I27" i="29"/>
  <c r="I14" i="29"/>
  <c r="I42" i="29" s="1"/>
  <c r="I43" i="29" s="1"/>
  <c r="I34" i="29"/>
  <c r="I35" i="29" s="1"/>
  <c r="Q20" i="29"/>
  <c r="Q20" i="30"/>
  <c r="I28" i="28"/>
  <c r="I15" i="28"/>
  <c r="J42" i="26"/>
  <c r="J43" i="26" s="1"/>
  <c r="H8" i="31"/>
  <c r="D32" i="22"/>
  <c r="D37" i="22" s="1"/>
  <c r="G28" i="31"/>
  <c r="B27" i="42"/>
  <c r="B27" i="36"/>
  <c r="AR65" i="32"/>
  <c r="B11" i="42"/>
  <c r="B11" i="36"/>
  <c r="AR49" i="32"/>
  <c r="D14" i="21"/>
  <c r="E4" i="14"/>
  <c r="D30" i="14"/>
  <c r="D35" i="14"/>
  <c r="E11" i="21"/>
  <c r="G30" i="26"/>
  <c r="G31" i="26" s="1"/>
  <c r="I27" i="25"/>
  <c r="H27" i="26"/>
  <c r="H28" i="28"/>
  <c r="I14" i="30"/>
  <c r="E31" i="22"/>
  <c r="E33" i="22"/>
  <c r="E9" i="22"/>
  <c r="B14" i="42"/>
  <c r="B14" i="36"/>
  <c r="AR52" i="32"/>
  <c r="D20" i="24"/>
  <c r="C12" i="17"/>
  <c r="C9" i="32" s="1"/>
  <c r="D8" i="22"/>
  <c r="D13" i="22" s="1"/>
  <c r="H30" i="26"/>
  <c r="H31" i="26" s="1"/>
  <c r="G8" i="30"/>
  <c r="G27" i="30" s="1"/>
  <c r="D32" i="14"/>
  <c r="H22" i="25"/>
  <c r="I30" i="25"/>
  <c r="I31" i="25" s="1"/>
  <c r="H14" i="26"/>
  <c r="H42" i="26" s="1"/>
  <c r="H43" i="26" s="1"/>
  <c r="D4" i="22"/>
  <c r="D58" i="22" s="1"/>
  <c r="D52" i="22"/>
  <c r="B22" i="42"/>
  <c r="B22" i="36"/>
  <c r="AR60" i="32"/>
  <c r="B19" i="42"/>
  <c r="B19" i="36"/>
  <c r="AR57" i="32"/>
  <c r="B6" i="42"/>
  <c r="B6" i="36"/>
  <c r="AR44" i="32"/>
  <c r="B3" i="42"/>
  <c r="B3" i="36"/>
  <c r="AR41" i="32"/>
  <c r="AR61" i="32"/>
  <c r="AR53" i="32"/>
  <c r="AR45" i="32"/>
  <c r="B23" i="36"/>
  <c r="B15" i="36"/>
  <c r="B7" i="36"/>
  <c r="D20" i="25"/>
  <c r="D12" i="17"/>
  <c r="D9" i="32" s="1"/>
  <c r="B12" i="32"/>
  <c r="C14" i="17"/>
  <c r="H14" i="27"/>
  <c r="C12" i="14"/>
  <c r="C32" i="27"/>
  <c r="I8" i="23" s="1"/>
  <c r="H12" i="17"/>
  <c r="H9" i="32" s="1"/>
  <c r="D20" i="29"/>
  <c r="G80" i="6"/>
  <c r="G32" i="6"/>
  <c r="G78" i="6"/>
  <c r="G79" i="6"/>
  <c r="D68" i="7"/>
  <c r="D67" i="7"/>
  <c r="E66" i="7" s="1"/>
  <c r="E67" i="7" s="1"/>
  <c r="F66" i="7" s="1"/>
  <c r="F67" i="7" s="1"/>
  <c r="D16" i="22"/>
  <c r="D18" i="21"/>
  <c r="H13" i="14"/>
  <c r="H10" i="27"/>
  <c r="D33" i="31"/>
  <c r="I10" i="23" s="1"/>
  <c r="J34" i="25"/>
  <c r="J35" i="25" s="1"/>
  <c r="J30" i="25"/>
  <c r="J31" i="25" s="1"/>
  <c r="E12" i="17"/>
  <c r="E9" i="32" s="1"/>
  <c r="E14" i="17"/>
  <c r="H17" i="14"/>
  <c r="G37" i="14"/>
  <c r="I37" i="14" s="1"/>
  <c r="J37" i="14" s="1"/>
  <c r="K37" i="14" s="1"/>
  <c r="L37" i="14" s="1"/>
  <c r="E12" i="14"/>
  <c r="E19" i="14" s="1"/>
  <c r="F78" i="6"/>
  <c r="F79" i="6"/>
  <c r="F80" i="6"/>
  <c r="D78" i="6"/>
  <c r="M7" i="17"/>
  <c r="M7" i="32" s="1"/>
  <c r="O7" i="32" s="1"/>
  <c r="D19" i="28"/>
  <c r="B12" i="17"/>
  <c r="B9" i="32" s="1"/>
  <c r="O33" i="27"/>
  <c r="O34" i="27" s="1"/>
  <c r="G86" i="6"/>
  <c r="G26" i="14" s="1"/>
  <c r="I26" i="14" s="1"/>
  <c r="G5" i="14"/>
  <c r="G88" i="6"/>
  <c r="G87" i="6"/>
  <c r="J3" i="18"/>
  <c r="D10" i="16"/>
  <c r="C4" i="17"/>
  <c r="B6" i="17" s="1"/>
  <c r="G12" i="14"/>
  <c r="G19" i="14" s="1"/>
  <c r="O8" i="17"/>
  <c r="G15" i="17" s="1"/>
  <c r="G12" i="32" s="1"/>
  <c r="Q25" i="30"/>
  <c r="Q29" i="30" s="1"/>
  <c r="O7" i="17"/>
  <c r="F15" i="17" s="1"/>
  <c r="F12" i="32" s="1"/>
  <c r="E15" i="17"/>
  <c r="E12" i="32" s="1"/>
  <c r="C15" i="17"/>
  <c r="C12" i="32" s="1"/>
  <c r="B19" i="52"/>
  <c r="E24" i="52" s="1"/>
  <c r="B21" i="52"/>
  <c r="B22" i="52" s="1"/>
  <c r="D24" i="26"/>
  <c r="B9" i="17"/>
  <c r="C42" i="52"/>
  <c r="E47" i="52" s="1"/>
  <c r="E16" i="22"/>
  <c r="E18" i="21"/>
  <c r="D5" i="18"/>
  <c r="M9" i="18"/>
  <c r="O3" i="18" s="1"/>
  <c r="O9" i="18" s="1"/>
  <c r="B10" i="21"/>
  <c r="B13" i="5"/>
  <c r="C10" i="16"/>
  <c r="B4" i="32"/>
  <c r="G36" i="14"/>
  <c r="I36" i="14" s="1"/>
  <c r="J36" i="14" s="1"/>
  <c r="K36" i="14" s="1"/>
  <c r="L36" i="14" s="1"/>
  <c r="G38" i="14"/>
  <c r="I38" i="14" s="1"/>
  <c r="J38" i="14" s="1"/>
  <c r="K38" i="14" s="1"/>
  <c r="L38" i="14" s="1"/>
  <c r="F16" i="22"/>
  <c r="H16" i="22" s="1"/>
  <c r="G85" i="6"/>
  <c r="G25" i="14" s="1"/>
  <c r="I25" i="14" s="1"/>
  <c r="J25" i="14" s="1"/>
  <c r="K25" i="14" s="1"/>
  <c r="L25" i="14" s="1"/>
  <c r="D33" i="22" l="1"/>
  <c r="D36" i="22" s="1"/>
  <c r="B16" i="22"/>
  <c r="B18" i="21"/>
  <c r="F72" i="6"/>
  <c r="D20" i="14"/>
  <c r="F19" i="14"/>
  <c r="G22" i="14" s="1"/>
  <c r="C19" i="14"/>
  <c r="C20" i="14" s="1"/>
  <c r="D9" i="22"/>
  <c r="D12" i="22" s="1"/>
  <c r="D13" i="21" s="1"/>
  <c r="C12" i="21"/>
  <c r="C59" i="22" s="1"/>
  <c r="C11" i="21"/>
  <c r="C9" i="22"/>
  <c r="C33" i="22"/>
  <c r="C34" i="22" s="1"/>
  <c r="C57" i="22"/>
  <c r="F25" i="5"/>
  <c r="F28" i="22"/>
  <c r="G28" i="22" s="1"/>
  <c r="C13" i="5"/>
  <c r="C31" i="5"/>
  <c r="C36" i="5" s="1"/>
  <c r="C39" i="5" s="1"/>
  <c r="C40" i="5" s="1"/>
  <c r="H52" i="22"/>
  <c r="H53" i="22" s="1"/>
  <c r="F4" i="22"/>
  <c r="U14" i="22" s="1"/>
  <c r="U38" i="22" s="1"/>
  <c r="U62" i="22" s="1"/>
  <c r="D30" i="22"/>
  <c r="D31" i="22" s="1"/>
  <c r="G5" i="21"/>
  <c r="F53" i="22"/>
  <c r="F6" i="21"/>
  <c r="D6" i="22"/>
  <c r="D7" i="22" s="1"/>
  <c r="D8" i="21"/>
  <c r="C29" i="22"/>
  <c r="C10" i="22"/>
  <c r="C5" i="22"/>
  <c r="C6" i="16"/>
  <c r="D44" i="17"/>
  <c r="D46" i="17" s="1"/>
  <c r="E16" i="17"/>
  <c r="E13" i="32" s="1"/>
  <c r="E11" i="32"/>
  <c r="C18" i="21"/>
  <c r="C16" i="22"/>
  <c r="C16" i="17"/>
  <c r="C13" i="32" s="1"/>
  <c r="C11" i="32"/>
  <c r="C11" i="16"/>
  <c r="I16" i="22"/>
  <c r="I18" i="21"/>
  <c r="D20" i="30"/>
  <c r="G12" i="17"/>
  <c r="Q34" i="30"/>
  <c r="G29" i="14"/>
  <c r="I29" i="14" s="1"/>
  <c r="J29" i="14" s="1"/>
  <c r="K29" i="14" s="1"/>
  <c r="L29" i="14" s="1"/>
  <c r="H5" i="14"/>
  <c r="G28" i="14"/>
  <c r="I28" i="14" s="1"/>
  <c r="J28" i="14" s="1"/>
  <c r="K28" i="14" s="1"/>
  <c r="L28" i="14" s="1"/>
  <c r="G6" i="14"/>
  <c r="D24" i="28"/>
  <c r="E9" i="23"/>
  <c r="F14" i="17"/>
  <c r="D24" i="25"/>
  <c r="N39" i="25"/>
  <c r="E36" i="22"/>
  <c r="E34" i="22"/>
  <c r="F10" i="21"/>
  <c r="F13" i="5"/>
  <c r="D4" i="51"/>
  <c r="F31" i="5"/>
  <c r="F36" i="5" s="1"/>
  <c r="F39" i="5" s="1"/>
  <c r="F40" i="5" s="1"/>
  <c r="F26" i="5"/>
  <c r="C82" i="6"/>
  <c r="D33" i="26"/>
  <c r="I7" i="23" s="1"/>
  <c r="D31" i="26"/>
  <c r="H7" i="23" s="1"/>
  <c r="F7" i="23"/>
  <c r="D29" i="26"/>
  <c r="G7" i="23" s="1"/>
  <c r="D53" i="22"/>
  <c r="E53" i="22"/>
  <c r="D24" i="24"/>
  <c r="N39" i="24"/>
  <c r="E12" i="22"/>
  <c r="E13" i="21" s="1"/>
  <c r="E10" i="22"/>
  <c r="B57" i="22"/>
  <c r="B9" i="22"/>
  <c r="B11" i="21"/>
  <c r="B12" i="21"/>
  <c r="B33" i="22"/>
  <c r="D43" i="17"/>
  <c r="F43" i="17"/>
  <c r="F44" i="17" s="1"/>
  <c r="F46" i="17" s="1"/>
  <c r="C43" i="17"/>
  <c r="C44" i="17" s="1"/>
  <c r="C46" i="17" s="1"/>
  <c r="E43" i="17"/>
  <c r="E44" i="17" s="1"/>
  <c r="E46" i="17" s="1"/>
  <c r="T14" i="22"/>
  <c r="T38" i="22" s="1"/>
  <c r="T62" i="22" s="1"/>
  <c r="D14" i="17"/>
  <c r="J26" i="14"/>
  <c r="E82" i="6"/>
  <c r="E22" i="14"/>
  <c r="E20" i="14"/>
  <c r="F29" i="22"/>
  <c r="B14" i="17"/>
  <c r="G82" i="6"/>
  <c r="H19" i="14"/>
  <c r="G20" i="14"/>
  <c r="B7" i="21"/>
  <c r="B14" i="5"/>
  <c r="H12" i="14"/>
  <c r="H14" i="17"/>
  <c r="D24" i="29"/>
  <c r="N39" i="29"/>
  <c r="H18" i="27"/>
  <c r="H37" i="27"/>
  <c r="H42" i="27" s="1"/>
  <c r="H43" i="27" s="1"/>
  <c r="I52" i="22"/>
  <c r="D5" i="22"/>
  <c r="D55" i="22"/>
  <c r="E5" i="22"/>
  <c r="D34" i="22"/>
  <c r="H28" i="31"/>
  <c r="H10" i="31"/>
  <c r="H15" i="31" s="1"/>
  <c r="Q35" i="30"/>
  <c r="C60" i="22" l="1"/>
  <c r="D10" i="22"/>
  <c r="G4" i="22"/>
  <c r="H4" i="22"/>
  <c r="H8" i="22" s="1"/>
  <c r="H13" i="22" s="1"/>
  <c r="C11" i="22"/>
  <c r="C12" i="22" s="1"/>
  <c r="C13" i="21" s="1"/>
  <c r="C58" i="22"/>
  <c r="C35" i="22"/>
  <c r="D22" i="14"/>
  <c r="F82" i="6"/>
  <c r="F83" i="6" s="1"/>
  <c r="F20" i="14"/>
  <c r="F22" i="14"/>
  <c r="E63" i="22" s="1"/>
  <c r="E64" i="22" s="1"/>
  <c r="H28" i="22"/>
  <c r="I28" i="22" s="1"/>
  <c r="H56" i="22"/>
  <c r="H61" i="22" s="1"/>
  <c r="I5" i="21"/>
  <c r="C24" i="17" s="1"/>
  <c r="C36" i="22"/>
  <c r="F5" i="22"/>
  <c r="C14" i="5"/>
  <c r="C7" i="21"/>
  <c r="R14" i="22"/>
  <c r="R38" i="22" s="1"/>
  <c r="R62" i="22" s="1"/>
  <c r="H62" i="22" s="1"/>
  <c r="S14" i="22"/>
  <c r="S38" i="22" s="1"/>
  <c r="S62" i="22" s="1"/>
  <c r="I62" i="22" s="1"/>
  <c r="G10" i="21"/>
  <c r="F9" i="22"/>
  <c r="F57" i="22"/>
  <c r="F33" i="22"/>
  <c r="F11" i="21"/>
  <c r="D33" i="28"/>
  <c r="I9" i="23" s="1"/>
  <c r="D31" i="28"/>
  <c r="H9" i="23" s="1"/>
  <c r="D29" i="28"/>
  <c r="G9" i="23" s="1"/>
  <c r="F9" i="23"/>
  <c r="D35" i="28"/>
  <c r="J9" i="23" s="1"/>
  <c r="D31" i="29"/>
  <c r="H11" i="23" s="1"/>
  <c r="D33" i="29"/>
  <c r="I11" i="23" s="1"/>
  <c r="D29" i="29"/>
  <c r="G11" i="23" s="1"/>
  <c r="F11" i="23"/>
  <c r="D63" i="22"/>
  <c r="D64" i="22" s="1"/>
  <c r="D39" i="22"/>
  <c r="D40" i="22" s="1"/>
  <c r="D15" i="22"/>
  <c r="D16" i="21" s="1"/>
  <c r="D16" i="17"/>
  <c r="D13" i="32" s="1"/>
  <c r="D11" i="32"/>
  <c r="B35" i="22"/>
  <c r="B36" i="22" s="1"/>
  <c r="B40" i="22" s="1"/>
  <c r="B11" i="22"/>
  <c r="B12" i="22" s="1"/>
  <c r="B13" i="21" s="1"/>
  <c r="B59" i="22"/>
  <c r="B60" i="22" s="1"/>
  <c r="B64" i="22" s="1"/>
  <c r="D31" i="24"/>
  <c r="H5" i="23" s="1"/>
  <c r="D33" i="24"/>
  <c r="I5" i="23" s="1"/>
  <c r="F5" i="23"/>
  <c r="D29" i="24"/>
  <c r="G5" i="23" s="1"/>
  <c r="C63" i="22"/>
  <c r="C64" i="22" s="1"/>
  <c r="C39" i="22"/>
  <c r="C15" i="22"/>
  <c r="C16" i="21" s="1"/>
  <c r="D31" i="25"/>
  <c r="H6" i="23" s="1"/>
  <c r="D33" i="25"/>
  <c r="I6" i="23" s="1"/>
  <c r="D29" i="25"/>
  <c r="G6" i="23" s="1"/>
  <c r="F6" i="23"/>
  <c r="C37" i="17"/>
  <c r="F63" i="22"/>
  <c r="F39" i="22"/>
  <c r="F15" i="22"/>
  <c r="F16" i="21" s="1"/>
  <c r="J52" i="22"/>
  <c r="I53" i="22"/>
  <c r="I56" i="22"/>
  <c r="H16" i="17"/>
  <c r="H13" i="32" s="1"/>
  <c r="H11" i="32"/>
  <c r="C83" i="6"/>
  <c r="D84" i="6"/>
  <c r="F16" i="17"/>
  <c r="F13" i="32" s="1"/>
  <c r="F11" i="32"/>
  <c r="G14" i="17"/>
  <c r="G9" i="32"/>
  <c r="J16" i="22"/>
  <c r="J18" i="21"/>
  <c r="G13" i="16"/>
  <c r="C13" i="16"/>
  <c r="H13" i="16"/>
  <c r="D13" i="16"/>
  <c r="E13" i="16"/>
  <c r="F13" i="16"/>
  <c r="B34" i="22"/>
  <c r="B58" i="22"/>
  <c r="B6" i="22"/>
  <c r="B7" i="22" s="1"/>
  <c r="B30" i="22"/>
  <c r="B31" i="22" s="1"/>
  <c r="B8" i="21"/>
  <c r="B54" i="22"/>
  <c r="B55" i="22" s="1"/>
  <c r="G83" i="6"/>
  <c r="H32" i="22"/>
  <c r="H37" i="22" s="1"/>
  <c r="E83" i="6"/>
  <c r="E84" i="6"/>
  <c r="F84" i="6"/>
  <c r="B16" i="17"/>
  <c r="B11" i="32"/>
  <c r="B13" i="32" s="1"/>
  <c r="E39" i="22"/>
  <c r="E40" i="22" s="1"/>
  <c r="K26" i="14"/>
  <c r="B10" i="22"/>
  <c r="F7" i="21"/>
  <c r="D3" i="51"/>
  <c r="B29" i="50"/>
  <c r="B28" i="50"/>
  <c r="D24" i="30"/>
  <c r="N39" i="30"/>
  <c r="H5" i="22" l="1"/>
  <c r="H29" i="22"/>
  <c r="I6" i="21"/>
  <c r="C25" i="17" s="1"/>
  <c r="I4" i="22"/>
  <c r="J5" i="21" s="1"/>
  <c r="J6" i="21" s="1"/>
  <c r="D25" i="17" s="1"/>
  <c r="I3" i="14"/>
  <c r="I14" i="14" s="1"/>
  <c r="E15" i="22"/>
  <c r="E16" i="21" s="1"/>
  <c r="G84" i="6"/>
  <c r="C15" i="16"/>
  <c r="B19" i="21" s="1"/>
  <c r="Q35" i="21" s="1"/>
  <c r="C40" i="22"/>
  <c r="H14" i="22"/>
  <c r="I15" i="21" s="1"/>
  <c r="C34" i="17" s="1"/>
  <c r="C8" i="21"/>
  <c r="C6" i="22"/>
  <c r="C7" i="22" s="1"/>
  <c r="C54" i="22"/>
  <c r="C55" i="22" s="1"/>
  <c r="C30" i="22"/>
  <c r="C31" i="22" s="1"/>
  <c r="H38" i="22"/>
  <c r="I9" i="21"/>
  <c r="I14" i="21" s="1"/>
  <c r="C33" i="17" s="1"/>
  <c r="D10" i="51"/>
  <c r="E3" i="51"/>
  <c r="C15" i="51" s="1"/>
  <c r="D7" i="51"/>
  <c r="F3" i="51"/>
  <c r="D15" i="51" s="1"/>
  <c r="G16" i="17"/>
  <c r="G13" i="32" s="1"/>
  <c r="G11" i="32"/>
  <c r="D24" i="17"/>
  <c r="J56" i="22"/>
  <c r="K52" i="22"/>
  <c r="J62" i="22"/>
  <c r="J53" i="22"/>
  <c r="G33" i="22"/>
  <c r="F36" i="22"/>
  <c r="F34" i="22"/>
  <c r="D33" i="30"/>
  <c r="I12" i="23" s="1"/>
  <c r="D31" i="30"/>
  <c r="H12" i="23" s="1"/>
  <c r="H16" i="23" s="1"/>
  <c r="F12" i="23"/>
  <c r="D29" i="30"/>
  <c r="G12" i="23" s="1"/>
  <c r="G16" i="23" s="1"/>
  <c r="L26" i="14"/>
  <c r="I38" i="22"/>
  <c r="I32" i="22"/>
  <c r="I37" i="22" s="1"/>
  <c r="J28" i="22"/>
  <c r="I29" i="22"/>
  <c r="D37" i="17"/>
  <c r="D41" i="17" s="1"/>
  <c r="I17" i="23"/>
  <c r="B4" i="51" s="1"/>
  <c r="I14" i="23"/>
  <c r="I13" i="23"/>
  <c r="F58" i="22"/>
  <c r="F60" i="22"/>
  <c r="G57" i="22"/>
  <c r="K21" i="21"/>
  <c r="F30" i="22"/>
  <c r="F6" i="22"/>
  <c r="L37" i="21"/>
  <c r="G7" i="21"/>
  <c r="F54" i="22"/>
  <c r="F8" i="21"/>
  <c r="B14" i="32"/>
  <c r="B16" i="32" s="1"/>
  <c r="I18" i="14"/>
  <c r="I9" i="14"/>
  <c r="I16" i="14"/>
  <c r="I5" i="14"/>
  <c r="B17" i="17"/>
  <c r="B18" i="17" s="1"/>
  <c r="C41" i="17" s="1"/>
  <c r="K18" i="21"/>
  <c r="K16" i="22"/>
  <c r="L18" i="21" s="1"/>
  <c r="J9" i="21"/>
  <c r="I61" i="22"/>
  <c r="I16" i="23"/>
  <c r="C4" i="51" s="1"/>
  <c r="H17" i="23"/>
  <c r="G17" i="23"/>
  <c r="J14" i="23"/>
  <c r="J16" i="23"/>
  <c r="J13" i="23"/>
  <c r="G9" i="22"/>
  <c r="F12" i="22"/>
  <c r="F10" i="22"/>
  <c r="I8" i="22" l="1"/>
  <c r="I13" i="22" s="1"/>
  <c r="J4" i="22"/>
  <c r="K5" i="21" s="1"/>
  <c r="J3" i="14"/>
  <c r="I5" i="22"/>
  <c r="I14" i="22"/>
  <c r="J15" i="21" s="1"/>
  <c r="D34" i="17" s="1"/>
  <c r="I10" i="14"/>
  <c r="I17" i="14"/>
  <c r="C17" i="22"/>
  <c r="C65" i="22"/>
  <c r="A56" i="21"/>
  <c r="A57" i="21" s="1"/>
  <c r="A58" i="21" s="1"/>
  <c r="I21" i="21"/>
  <c r="I22" i="21" s="1"/>
  <c r="C41" i="22"/>
  <c r="H43" i="22" s="1"/>
  <c r="L30" i="21"/>
  <c r="L21" i="21"/>
  <c r="L22" i="21" s="1"/>
  <c r="Q32" i="21" s="1"/>
  <c r="B35" i="21"/>
  <c r="A47" i="21"/>
  <c r="A46" i="21" s="1"/>
  <c r="J21" i="21"/>
  <c r="J22" i="21" s="1"/>
  <c r="E15" i="51"/>
  <c r="C28" i="17"/>
  <c r="J14" i="21"/>
  <c r="D33" i="17" s="1"/>
  <c r="D28" i="17"/>
  <c r="K56" i="22"/>
  <c r="K62" i="22"/>
  <c r="K53" i="22"/>
  <c r="L52" i="22"/>
  <c r="G13" i="23"/>
  <c r="F13" i="21"/>
  <c r="G13" i="21" s="1"/>
  <c r="G12" i="22"/>
  <c r="F4" i="51"/>
  <c r="D16" i="51" s="1"/>
  <c r="B16" i="51"/>
  <c r="L29" i="21"/>
  <c r="F37" i="17"/>
  <c r="F41" i="17" s="1"/>
  <c r="I13" i="14"/>
  <c r="I12" i="14" s="1"/>
  <c r="I8" i="14"/>
  <c r="I7" i="14" s="1"/>
  <c r="G54" i="22"/>
  <c r="H54" i="22"/>
  <c r="F55" i="22"/>
  <c r="H30" i="22"/>
  <c r="G30" i="22"/>
  <c r="F31" i="22"/>
  <c r="F40" i="22"/>
  <c r="G36" i="22"/>
  <c r="J61" i="22"/>
  <c r="K3" i="14"/>
  <c r="K4" i="22"/>
  <c r="L5" i="21" s="1"/>
  <c r="J8" i="22"/>
  <c r="J13" i="22" s="1"/>
  <c r="J14" i="22"/>
  <c r="K15" i="21" s="1"/>
  <c r="E34" i="17" s="1"/>
  <c r="J5" i="22"/>
  <c r="G14" i="23"/>
  <c r="A55" i="21"/>
  <c r="A54" i="21" s="1"/>
  <c r="E24" i="17"/>
  <c r="K6" i="21"/>
  <c r="E25" i="17" s="1"/>
  <c r="J9" i="14"/>
  <c r="J14" i="14"/>
  <c r="J10" i="14"/>
  <c r="J16" i="14"/>
  <c r="J5" i="14"/>
  <c r="J17" i="14"/>
  <c r="J18" i="14"/>
  <c r="J4" i="14"/>
  <c r="H6" i="22"/>
  <c r="F7" i="22"/>
  <c r="G6" i="22"/>
  <c r="K22" i="21"/>
  <c r="E37" i="17"/>
  <c r="E41" i="17" s="1"/>
  <c r="H19" i="22"/>
  <c r="H20" i="22" s="1"/>
  <c r="K19" i="22"/>
  <c r="K20" i="22" s="1"/>
  <c r="J19" i="22"/>
  <c r="J20" i="22" s="1"/>
  <c r="I19" i="22"/>
  <c r="I20" i="22" s="1"/>
  <c r="H13" i="23"/>
  <c r="F39" i="17"/>
  <c r="E39" i="17"/>
  <c r="D39" i="17"/>
  <c r="C39" i="17"/>
  <c r="H17" i="32"/>
  <c r="D17" i="32"/>
  <c r="G17" i="32"/>
  <c r="I17" i="32"/>
  <c r="B21" i="32"/>
  <c r="F17" i="32"/>
  <c r="C17" i="32"/>
  <c r="E17" i="32"/>
  <c r="B17" i="32"/>
  <c r="I67" i="22"/>
  <c r="J67" i="22"/>
  <c r="H67" i="22"/>
  <c r="K67" i="22"/>
  <c r="G60" i="22"/>
  <c r="F64" i="22"/>
  <c r="A4" i="51"/>
  <c r="A16" i="51" s="1"/>
  <c r="E4" i="51"/>
  <c r="C16" i="51" s="1"/>
  <c r="J32" i="22"/>
  <c r="J37" i="22" s="1"/>
  <c r="J38" i="22"/>
  <c r="K28" i="22"/>
  <c r="J29" i="22"/>
  <c r="F10" i="51"/>
  <c r="D18" i="51" s="1"/>
  <c r="E10" i="51"/>
  <c r="C18" i="51" s="1"/>
  <c r="K43" i="22" l="1"/>
  <c r="A48" i="21"/>
  <c r="I43" i="22"/>
  <c r="J43" i="22"/>
  <c r="B29" i="21"/>
  <c r="Q29" i="21"/>
  <c r="K9" i="21"/>
  <c r="E28" i="17" s="1"/>
  <c r="E40" i="17"/>
  <c r="E47" i="17"/>
  <c r="E18" i="51"/>
  <c r="F40" i="17"/>
  <c r="F47" i="17"/>
  <c r="K14" i="22"/>
  <c r="L15" i="21" s="1"/>
  <c r="K8" i="22"/>
  <c r="K13" i="22" s="1"/>
  <c r="L3" i="14"/>
  <c r="L4" i="22"/>
  <c r="K5" i="22"/>
  <c r="I30" i="22"/>
  <c r="H33" i="22"/>
  <c r="H31" i="22"/>
  <c r="I19" i="14"/>
  <c r="A45" i="21"/>
  <c r="C40" i="17"/>
  <c r="B40" i="17" s="1"/>
  <c r="B49" i="17" s="1"/>
  <c r="C47" i="17"/>
  <c r="B47" i="17" s="1"/>
  <c r="K10" i="14"/>
  <c r="K16" i="14"/>
  <c r="K5" i="14"/>
  <c r="K17" i="14"/>
  <c r="K18" i="14"/>
  <c r="K9" i="14"/>
  <c r="K14" i="14"/>
  <c r="K4" i="14"/>
  <c r="K32" i="22"/>
  <c r="K37" i="22" s="1"/>
  <c r="K38" i="22"/>
  <c r="K29" i="22"/>
  <c r="L28" i="22"/>
  <c r="A49" i="21"/>
  <c r="D40" i="17"/>
  <c r="D47" i="17"/>
  <c r="I6" i="22"/>
  <c r="H9" i="22"/>
  <c r="H7" i="22"/>
  <c r="J13" i="14"/>
  <c r="J12" i="14" s="1"/>
  <c r="J8" i="14"/>
  <c r="J7" i="14" s="1"/>
  <c r="I7" i="21"/>
  <c r="I54" i="22"/>
  <c r="H57" i="22"/>
  <c r="H55" i="22"/>
  <c r="E16" i="51"/>
  <c r="M5" i="21"/>
  <c r="F24" i="17"/>
  <c r="L6" i="21"/>
  <c r="F25" i="17" s="1"/>
  <c r="K61" i="22"/>
  <c r="K14" i="21" l="1"/>
  <c r="E33" i="17" s="1"/>
  <c r="L9" i="21"/>
  <c r="F28" i="17" s="1"/>
  <c r="J19" i="14"/>
  <c r="J22" i="14" s="1"/>
  <c r="F34" i="17"/>
  <c r="M15" i="21"/>
  <c r="L14" i="21"/>
  <c r="F33" i="17" s="1"/>
  <c r="H11" i="22"/>
  <c r="H12" i="22" s="1"/>
  <c r="H10" i="22"/>
  <c r="K13" i="14"/>
  <c r="K12" i="14" s="1"/>
  <c r="K8" i="14"/>
  <c r="K7" i="14" s="1"/>
  <c r="I22" i="14"/>
  <c r="I20" i="14"/>
  <c r="I10" i="21"/>
  <c r="H59" i="22"/>
  <c r="H58" i="22"/>
  <c r="C26" i="17"/>
  <c r="I8" i="21"/>
  <c r="C27" i="17" s="1"/>
  <c r="J30" i="22"/>
  <c r="I33" i="22"/>
  <c r="I31" i="22"/>
  <c r="I9" i="22"/>
  <c r="J6" i="22"/>
  <c r="I7" i="22"/>
  <c r="I55" i="22"/>
  <c r="J7" i="21"/>
  <c r="J54" i="22"/>
  <c r="I57" i="22"/>
  <c r="H35" i="22"/>
  <c r="H36" i="22" s="1"/>
  <c r="H34" i="22"/>
  <c r="L9" i="14"/>
  <c r="M9" i="14" s="1"/>
  <c r="L14" i="14"/>
  <c r="M14" i="14" s="1"/>
  <c r="L10" i="14"/>
  <c r="M10" i="14" s="1"/>
  <c r="L16" i="14"/>
  <c r="M16" i="14" s="1"/>
  <c r="L5" i="14"/>
  <c r="L17" i="14"/>
  <c r="M17" i="14" s="1"/>
  <c r="L18" i="14"/>
  <c r="M18" i="14" s="1"/>
  <c r="L4" i="14"/>
  <c r="M3" i="14"/>
  <c r="J20" i="14" l="1"/>
  <c r="K19" i="14"/>
  <c r="K22" i="14" s="1"/>
  <c r="I12" i="21"/>
  <c r="C31" i="17" s="1"/>
  <c r="H60" i="22"/>
  <c r="J10" i="21"/>
  <c r="I59" i="22"/>
  <c r="I60" i="22" s="1"/>
  <c r="I58" i="22"/>
  <c r="I15" i="22"/>
  <c r="I39" i="22"/>
  <c r="I63" i="22"/>
  <c r="H15" i="22"/>
  <c r="H39" i="22"/>
  <c r="H40" i="22" s="1"/>
  <c r="H44" i="22" s="1"/>
  <c r="H63" i="22"/>
  <c r="K54" i="22"/>
  <c r="J57" i="22"/>
  <c r="K7" i="21"/>
  <c r="J55" i="22"/>
  <c r="K6" i="22"/>
  <c r="J9" i="22"/>
  <c r="J7" i="22"/>
  <c r="C29" i="17"/>
  <c r="I11" i="21"/>
  <c r="C30" i="17" s="1"/>
  <c r="J33" i="22"/>
  <c r="K30" i="22"/>
  <c r="J31" i="22"/>
  <c r="L13" i="14"/>
  <c r="M5" i="14"/>
  <c r="L8" i="14"/>
  <c r="J8" i="21"/>
  <c r="D27" i="17" s="1"/>
  <c r="D26" i="17"/>
  <c r="I11" i="22"/>
  <c r="I12" i="22" s="1"/>
  <c r="I10" i="22"/>
  <c r="I35" i="22"/>
  <c r="I36" i="22" s="1"/>
  <c r="I34" i="22"/>
  <c r="I13" i="21" l="1"/>
  <c r="C32" i="17" s="1"/>
  <c r="K20" i="14"/>
  <c r="I40" i="22"/>
  <c r="I44" i="22" s="1"/>
  <c r="I16" i="21"/>
  <c r="C35" i="17" s="1"/>
  <c r="J16" i="21"/>
  <c r="D35" i="17" s="1"/>
  <c r="L12" i="14"/>
  <c r="M12" i="14" s="1"/>
  <c r="M13" i="14"/>
  <c r="I64" i="22"/>
  <c r="I68" i="22" s="1"/>
  <c r="J11" i="22"/>
  <c r="J12" i="22" s="1"/>
  <c r="J10" i="22"/>
  <c r="K10" i="21"/>
  <c r="J58" i="22"/>
  <c r="J59" i="22"/>
  <c r="J60" i="22" s="1"/>
  <c r="K8" i="21"/>
  <c r="E27" i="17" s="1"/>
  <c r="E26" i="17"/>
  <c r="K33" i="22"/>
  <c r="K31" i="22"/>
  <c r="L30" i="22"/>
  <c r="K9" i="22"/>
  <c r="L6" i="22"/>
  <c r="K7" i="22"/>
  <c r="L7" i="21"/>
  <c r="L54" i="22"/>
  <c r="K55" i="22"/>
  <c r="K57" i="22"/>
  <c r="J13" i="21"/>
  <c r="D32" i="17" s="1"/>
  <c r="J11" i="21"/>
  <c r="D30" i="17" s="1"/>
  <c r="D29" i="17"/>
  <c r="L7" i="14"/>
  <c r="M8" i="14"/>
  <c r="J35" i="22"/>
  <c r="J36" i="22" s="1"/>
  <c r="J34" i="22"/>
  <c r="J39" i="22"/>
  <c r="J15" i="22"/>
  <c r="J63" i="22"/>
  <c r="K16" i="21" s="1"/>
  <c r="E35" i="17" s="1"/>
  <c r="H64" i="22"/>
  <c r="H68" i="22" s="1"/>
  <c r="J64" i="22" l="1"/>
  <c r="J68" i="22" s="1"/>
  <c r="J40" i="22"/>
  <c r="J44" i="22" s="1"/>
  <c r="K35" i="22"/>
  <c r="K36" i="22" s="1"/>
  <c r="K34" i="22"/>
  <c r="L33" i="22"/>
  <c r="K11" i="22"/>
  <c r="K12" i="22" s="1"/>
  <c r="L12" i="22" s="1"/>
  <c r="K10" i="22"/>
  <c r="L9" i="22"/>
  <c r="B32" i="21"/>
  <c r="B45" i="21" s="1"/>
  <c r="L8" i="21"/>
  <c r="F27" i="17" s="1"/>
  <c r="F26" i="17"/>
  <c r="M7" i="21"/>
  <c r="B40" i="21"/>
  <c r="K13" i="21"/>
  <c r="E32" i="17" s="1"/>
  <c r="E29" i="17"/>
  <c r="K11" i="21"/>
  <c r="E30" i="17" s="1"/>
  <c r="L19" i="14"/>
  <c r="M7" i="14"/>
  <c r="L10" i="21"/>
  <c r="K59" i="22"/>
  <c r="K60" i="22" s="1"/>
  <c r="L57" i="22"/>
  <c r="K58" i="22"/>
  <c r="L60" i="22" l="1"/>
  <c r="L36" i="22"/>
  <c r="L13" i="21"/>
  <c r="L11" i="21"/>
  <c r="F30" i="17" s="1"/>
  <c r="F29" i="17"/>
  <c r="M10" i="21"/>
  <c r="L22" i="14"/>
  <c r="L20" i="14"/>
  <c r="M19" i="14"/>
  <c r="B34" i="21"/>
  <c r="D47" i="21"/>
  <c r="F47" i="21"/>
  <c r="F7" i="51" s="1"/>
  <c r="D17" i="51" s="1"/>
  <c r="B47" i="21"/>
  <c r="E7" i="51" s="1"/>
  <c r="C17" i="51" s="1"/>
  <c r="E47" i="21"/>
  <c r="C47" i="21"/>
  <c r="F46" i="21"/>
  <c r="C48" i="21"/>
  <c r="F48" i="21"/>
  <c r="B48" i="21"/>
  <c r="C46" i="21"/>
  <c r="E46" i="21"/>
  <c r="E48" i="21"/>
  <c r="D46" i="21"/>
  <c r="D48" i="21"/>
  <c r="B46" i="21"/>
  <c r="C49" i="21"/>
  <c r="E45" i="21"/>
  <c r="F45" i="21"/>
  <c r="C45" i="21"/>
  <c r="E49" i="21"/>
  <c r="D49" i="21"/>
  <c r="F49" i="21"/>
  <c r="D45" i="21"/>
  <c r="B49" i="21"/>
  <c r="L31" i="21" l="1"/>
  <c r="L33" i="21" s="1"/>
  <c r="Q33" i="21" s="1"/>
  <c r="Q34" i="21" s="1"/>
  <c r="Q36" i="21" s="1"/>
  <c r="B36" i="21"/>
  <c r="E17" i="51"/>
  <c r="K39" i="22"/>
  <c r="K40" i="22" s="1"/>
  <c r="K44" i="22" s="1"/>
  <c r="K15" i="22"/>
  <c r="K63" i="22"/>
  <c r="M22" i="14"/>
  <c r="F32" i="17"/>
  <c r="M13" i="21"/>
  <c r="Q39" i="21" l="1"/>
  <c r="Q44" i="21" s="1"/>
  <c r="Q50" i="21" s="1"/>
  <c r="Q51" i="21" s="1"/>
  <c r="L16" i="21"/>
  <c r="F35" i="17" s="1"/>
  <c r="K64" i="22"/>
  <c r="K68" i="22" s="1"/>
  <c r="B39" i="21"/>
  <c r="D53" i="21"/>
  <c r="Q37" i="21" l="1"/>
  <c r="F29" i="21"/>
  <c r="F35" i="21" s="1"/>
  <c r="L36" i="21"/>
  <c r="L39" i="21" s="1"/>
  <c r="B37" i="21"/>
  <c r="C53" i="21"/>
  <c r="E53" i="21"/>
  <c r="D57" i="21"/>
  <c r="D54" i="21"/>
  <c r="D55" i="21"/>
  <c r="D56" i="21"/>
  <c r="D58" i="21"/>
  <c r="F36" i="21" l="1"/>
  <c r="F53" i="21"/>
  <c r="E57" i="21"/>
  <c r="E56" i="21"/>
  <c r="E55" i="21"/>
  <c r="E58" i="21"/>
  <c r="E54" i="21"/>
  <c r="B53" i="21"/>
  <c r="C58" i="21"/>
  <c r="C57" i="21"/>
  <c r="C55" i="21"/>
  <c r="C56" i="21"/>
  <c r="C54" i="21"/>
  <c r="B58" i="21" l="1"/>
  <c r="B57" i="21"/>
  <c r="B56" i="21"/>
  <c r="B54" i="21"/>
  <c r="B55" i="21"/>
  <c r="F57" i="21"/>
  <c r="F56" i="21"/>
  <c r="F58" i="21"/>
  <c r="F55" i="21"/>
  <c r="F54" i="21"/>
  <c r="L5" i="27"/>
  <c r="L3" i="27"/>
  <c r="N3" i="27"/>
  <c r="N5" i="27"/>
  <c r="O5" i="27"/>
  <c r="O3" i="27"/>
  <c r="M5" i="27"/>
  <c r="M3" i="27"/>
</calcChain>
</file>

<file path=xl/comments1.xml><?xml version="1.0" encoding="utf-8"?>
<comments xmlns="http://schemas.openxmlformats.org/spreadsheetml/2006/main">
  <authors>
    <author>Microsoft Office User</author>
  </authors>
  <commentList>
    <comment ref="K8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research
</t>
        </r>
      </text>
    </comment>
  </commentList>
</comments>
</file>

<file path=xl/comments10.xml><?xml version="1.0" encoding="utf-8"?>
<comments xmlns="http://schemas.openxmlformats.org/spreadsheetml/2006/main">
  <authors>
    <author>Hourfar, Navid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excluded due to outlier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excluded due to outlier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excluded due to outlier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excluded due to outlier</t>
        </r>
      </text>
    </comment>
  </commentList>
</comments>
</file>

<file path=xl/comments11.xml><?xml version="1.0" encoding="utf-8"?>
<comments xmlns="http://schemas.openxmlformats.org/spreadsheetml/2006/main">
  <authors>
    <author>Biller, Eduard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2012: 1,6
</t>
        </r>
      </text>
    </comment>
  </commentList>
</comments>
</file>

<file path=xl/comments12.xml><?xml version="1.0" encoding="utf-8"?>
<comments xmlns="http://schemas.openxmlformats.org/spreadsheetml/2006/main">
  <authors>
    <author>Biller, Eduard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no dividend in 2012
</t>
        </r>
      </text>
    </comment>
  </commentList>
</comments>
</file>

<file path=xl/comments13.xml><?xml version="1.0" encoding="utf-8"?>
<comments xmlns="http://schemas.openxmlformats.org/spreadsheetml/2006/main">
  <authors>
    <author>Biller, Eduard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same as year before</t>
        </r>
      </text>
    </comment>
  </commentList>
</comments>
</file>

<file path=xl/comments14.xml><?xml version="1.0" encoding="utf-8"?>
<comments xmlns="http://schemas.openxmlformats.org/spreadsheetml/2006/main">
  <authors>
    <author>Eduard Biller</author>
  </authors>
  <commentList>
    <comment ref="D16" authorId="0" shapeId="0">
      <text>
        <r>
          <rPr>
            <b/>
            <sz val="9"/>
            <color indexed="81"/>
            <rFont val="Calibri"/>
            <family val="2"/>
          </rPr>
          <t>Eduard Biller:</t>
        </r>
        <r>
          <rPr>
            <sz val="9"/>
            <color indexed="81"/>
            <rFont val="Calibri"/>
            <family val="2"/>
          </rPr>
          <t xml:space="preserve">
2011:1,0552; 2012: 1,2165</t>
        </r>
      </text>
    </comment>
  </commentList>
</comments>
</file>

<file path=xl/comments2.xml><?xml version="1.0" encoding="utf-8"?>
<comments xmlns="http://schemas.openxmlformats.org/spreadsheetml/2006/main">
  <authors>
    <author>Biller, Eduard</author>
    <author>Hourfar, Navid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http://pages.stern.nyu.edu/~adamodar/New_Home_Page/datafile/Betas.html</t>
        </r>
      </text>
    </comment>
    <comment ref="K7" authorId="1" shape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in RMB
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Assumption for the future growth rate of the dividends is based upon the average industry growth rate
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Seems to be too low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These companies were excluded since the dividend payment differs a lot from the usual standards.
</t>
        </r>
      </text>
    </comment>
  </commentList>
</comments>
</file>

<file path=xl/comments3.xml><?xml version="1.0" encoding="utf-8"?>
<comments xmlns="http://schemas.openxmlformats.org/spreadsheetml/2006/main">
  <authors>
    <author>Thyssen, Maximilian</author>
    <author>Biller, Eduard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Please select Scenario!</t>
        </r>
      </text>
    </comment>
    <comment ref="B33" authorId="1" shape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Midpoint comps
</t>
        </r>
      </text>
    </comment>
  </commentList>
</comments>
</file>

<file path=xl/comments4.xml><?xml version="1.0" encoding="utf-8"?>
<comments xmlns="http://schemas.openxmlformats.org/spreadsheetml/2006/main">
  <authors>
    <author>Biller, Eduard</author>
    <author>Hourfar, Navid</author>
  </authors>
  <commentList>
    <comment ref="L6" authorId="0" shape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Due to the synergies the costs will continue to decline.</t>
        </r>
      </text>
    </comment>
    <comment ref="A7" authorId="1" shape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Non-cash current assets
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IFRS: Sale expected to complete in 12 months.
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non-interest bearing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Reduction of both assets held for sale and liabilities associated with assets held for sale results in a negative change in NWC.
</t>
        </r>
      </text>
    </comment>
  </commentList>
</comments>
</file>

<file path=xl/comments5.xml><?xml version="1.0" encoding="utf-8"?>
<comments xmlns="http://schemas.openxmlformats.org/spreadsheetml/2006/main">
  <authors>
    <author>Microsoft Office User</author>
  </authors>
  <commentList>
    <comment ref="B7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C7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D7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</t>
        </r>
      </text>
    </comment>
    <comment ref="E7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</t>
        </r>
      </text>
    </comment>
    <comment ref="F7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B39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1164
</t>
        </r>
      </text>
    </comment>
  </commentList>
</comments>
</file>

<file path=xl/comments6.xml><?xml version="1.0" encoding="utf-8"?>
<comments xmlns="http://schemas.openxmlformats.org/spreadsheetml/2006/main">
  <authors>
    <author>Microsoft Office User</author>
    <author>Hourfar, Navid</author>
    <author>Thyssen, Maximilian</author>
  </authors>
  <commentList>
    <comment ref="C4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D4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E4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F4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G4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</t>
        </r>
      </text>
    </comment>
    <comment ref="C79" authorId="1" shape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Under critical threshold of 100%
</t>
        </r>
      </text>
    </comment>
    <comment ref="B82" authorId="2" shapeId="0">
      <text>
        <r>
          <rPr>
            <b/>
            <sz val="9"/>
            <color indexed="81"/>
            <rFont val="Tahoma"/>
            <family val="2"/>
          </rPr>
          <t>Thyssen, Maximilian:</t>
        </r>
        <r>
          <rPr>
            <sz val="9"/>
            <color indexed="81"/>
            <rFont val="Tahoma"/>
            <family val="2"/>
          </rPr>
          <t xml:space="preserve">
(Accounts Receivable + Inventory + Prepaid expenses and Other current assets) - (Accounts payable + accrued liabilities + Deferred tax liabilities + Other current liabilities);
clear for interest paying/receiving. positions</t>
        </r>
      </text>
    </comment>
  </commentList>
</comments>
</file>

<file path=xl/comments7.xml><?xml version="1.0" encoding="utf-8"?>
<comments xmlns="http://schemas.openxmlformats.org/spreadsheetml/2006/main">
  <authors>
    <author>Microsoft Office User</author>
  </authors>
  <commentList>
    <comment ref="C5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</t>
        </r>
      </text>
    </comment>
    <comment ref="D5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E5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F5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G5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C66" authorId="0" shape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Hourfar, Navid</author>
    <author>Biller, Eduard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Source: http://pages.stern.nyu.edu/~adamodar/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http://pages.stern.nyu.edu/~adamodar/New_Home_Page/datafile/Betas.html
</t>
        </r>
      </text>
    </comment>
    <comment ref="I11" authorId="1" shape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average beta 1,20</t>
        </r>
      </text>
    </comment>
    <comment ref="A43" authorId="1" shape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Debt level is going to remain constant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Due to the improvement in rating and the stable financing situtation, the interest rate payments will continue to remain constant.
</t>
        </r>
      </text>
    </comment>
  </commentList>
</comments>
</file>

<file path=xl/comments9.xml><?xml version="1.0" encoding="utf-8"?>
<comments xmlns="http://schemas.openxmlformats.org/spreadsheetml/2006/main">
  <authors>
    <author>Hourfar, Navid</author>
  </authors>
  <commentList>
    <comment ref="K8" authorId="0" shape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Not considered because values are too low (outlier)
</t>
        </r>
      </text>
    </comment>
  </commentList>
</comments>
</file>

<file path=xl/sharedStrings.xml><?xml version="1.0" encoding="utf-8"?>
<sst xmlns="http://schemas.openxmlformats.org/spreadsheetml/2006/main" count="1849" uniqueCount="603">
  <si>
    <t>Periods</t>
  </si>
  <si>
    <t>Cash flows</t>
  </si>
  <si>
    <t>Discount factor</t>
  </si>
  <si>
    <t>PV of CF</t>
  </si>
  <si>
    <t>Face value</t>
  </si>
  <si>
    <t>YTM</t>
  </si>
  <si>
    <t>Price</t>
  </si>
  <si>
    <t>Value of bond</t>
  </si>
  <si>
    <t>Coupon</t>
  </si>
  <si>
    <t>Face Value</t>
  </si>
  <si>
    <t>Interest</t>
  </si>
  <si>
    <t>Rd</t>
  </si>
  <si>
    <t>Name</t>
  </si>
  <si>
    <t>Weighted average</t>
  </si>
  <si>
    <t>Sum</t>
  </si>
  <si>
    <t>Germany</t>
  </si>
  <si>
    <t>Other Europe</t>
  </si>
  <si>
    <t>Asia</t>
  </si>
  <si>
    <t>South America</t>
  </si>
  <si>
    <t>USA</t>
  </si>
  <si>
    <t xml:space="preserve">Africa </t>
  </si>
  <si>
    <t>Oceania</t>
  </si>
  <si>
    <t>WACC Calculation</t>
  </si>
  <si>
    <t>Risk Free Rate</t>
  </si>
  <si>
    <t>Marginal Tax Rate</t>
  </si>
  <si>
    <t>Side Calculation</t>
  </si>
  <si>
    <t>Corporate Risk Spread</t>
  </si>
  <si>
    <t>Cost of Equity</t>
  </si>
  <si>
    <t>WACC</t>
  </si>
  <si>
    <t>Weights by Sales</t>
  </si>
  <si>
    <t>Source Marginal Tax Rate: http://www.kpmg.com/Global/en/services/Tax/tax-tools-and-resources/Pages/corporate-tax-rates-table.aspx</t>
  </si>
  <si>
    <t>Source Country Risk Premium: http://pages.stern.nyu.edu/~adamodar/</t>
  </si>
  <si>
    <t>Cost of Debt</t>
  </si>
  <si>
    <t>Debt</t>
  </si>
  <si>
    <t>Equity</t>
  </si>
  <si>
    <t>Calculation of Cost of Debt</t>
  </si>
  <si>
    <t>Source Risk Free Rate (01.01.2014): investing.com</t>
  </si>
  <si>
    <t>1. CAPM</t>
  </si>
  <si>
    <t>Area Risk Premium</t>
  </si>
  <si>
    <t>Equity risk Premium Germany</t>
  </si>
  <si>
    <t>Beta</t>
  </si>
  <si>
    <t>Beta (levered)</t>
  </si>
  <si>
    <t>Beta (unlevered)</t>
  </si>
  <si>
    <t>Median</t>
  </si>
  <si>
    <t>Beta (Relevered)</t>
  </si>
  <si>
    <t>Daimler</t>
  </si>
  <si>
    <t>Paccar</t>
  </si>
  <si>
    <t>Oshkosch</t>
  </si>
  <si>
    <t>Target Leverage (1+D/E)</t>
  </si>
  <si>
    <t>After-Tax WACC</t>
  </si>
  <si>
    <t>Weighted AverageAfter-Tax WACC</t>
  </si>
  <si>
    <t>2. Dividend Discount Model</t>
  </si>
  <si>
    <t>3. Regression</t>
  </si>
  <si>
    <t>Source:</t>
  </si>
  <si>
    <t>in % of net sales</t>
  </si>
  <si>
    <t>Net Income</t>
  </si>
  <si>
    <t>Net income attributable to non-controlling interest</t>
  </si>
  <si>
    <t>Income before minority interests</t>
  </si>
  <si>
    <t>Loss from discounted operations</t>
  </si>
  <si>
    <t>Income Taxes</t>
  </si>
  <si>
    <t>EBT</t>
  </si>
  <si>
    <t>EBIT (Operating Income)</t>
  </si>
  <si>
    <t>EBITDA</t>
  </si>
  <si>
    <t>Gross Profit</t>
  </si>
  <si>
    <t>Cost of Sales</t>
  </si>
  <si>
    <t>Net sales</t>
  </si>
  <si>
    <t>DPO</t>
  </si>
  <si>
    <t>Inventory turns</t>
  </si>
  <si>
    <t>DIH</t>
  </si>
  <si>
    <t>DSO</t>
  </si>
  <si>
    <t>Changes in Net Working Capital</t>
  </si>
  <si>
    <t>% of sales</t>
  </si>
  <si>
    <t>Net Working Capital</t>
  </si>
  <si>
    <t>Cash Ratio</t>
  </si>
  <si>
    <t>Quick Ratio</t>
  </si>
  <si>
    <t>Current Ratio</t>
  </si>
  <si>
    <t>Liquidity Ratios</t>
  </si>
  <si>
    <t>Test</t>
  </si>
  <si>
    <t>Total Liabilities and Equity</t>
  </si>
  <si>
    <t>Total Equity</t>
  </si>
  <si>
    <t>Minority interests</t>
  </si>
  <si>
    <t>Total</t>
  </si>
  <si>
    <t xml:space="preserve">Postretirement liability adjustments for foreign consolidated companies </t>
  </si>
  <si>
    <t>Foreign currency translation adjustments</t>
  </si>
  <si>
    <t>Deferred gain (loss) on derivative instruments</t>
  </si>
  <si>
    <t>Net unrealized gain (loss) on available-for-sale securities</t>
  </si>
  <si>
    <t>Accumulated other comprehensive income</t>
  </si>
  <si>
    <t>Retained earnings</t>
  </si>
  <si>
    <t>Total Liabilities</t>
  </si>
  <si>
    <t>Total Long-term Liabilities</t>
  </si>
  <si>
    <t>Deferred tax liabilities</t>
  </si>
  <si>
    <t>-</t>
  </si>
  <si>
    <t>Intragroup financing</t>
  </si>
  <si>
    <t>Long-term Liabilities</t>
  </si>
  <si>
    <t>Total Current Liabilities</t>
  </si>
  <si>
    <t>Current Liabilities</t>
  </si>
  <si>
    <t>Liabilities</t>
  </si>
  <si>
    <t>Total Assets</t>
  </si>
  <si>
    <t>Total Investments and Other Assets</t>
  </si>
  <si>
    <t>Investments and Other Assets</t>
  </si>
  <si>
    <t>Net Property, Plant, Equipment</t>
  </si>
  <si>
    <t>Property, Plant, Equipment</t>
  </si>
  <si>
    <t>Intangible assets</t>
  </si>
  <si>
    <t>Total current assets</t>
  </si>
  <si>
    <t>Other current assets</t>
  </si>
  <si>
    <t>Inventories</t>
  </si>
  <si>
    <t>Cash and cash equivalents</t>
  </si>
  <si>
    <t>Current Assets</t>
  </si>
  <si>
    <t>Assets</t>
  </si>
  <si>
    <t>Cash and Cash Equivalents at end of year</t>
  </si>
  <si>
    <t>Cash and Cash Equivalents at beginning of year</t>
  </si>
  <si>
    <t>Net increase (drecrease) in Cash and Cash Equivalents</t>
  </si>
  <si>
    <t>Effect of exchange  rate changes on cash and cash equivalents</t>
  </si>
  <si>
    <t>Net Cash provided by/used in financing activities</t>
  </si>
  <si>
    <t>Change in marketable securities</t>
  </si>
  <si>
    <t>Cash Flow from Financing Activities</t>
  </si>
  <si>
    <t>Net Cash used in investing activies</t>
  </si>
  <si>
    <t>Cash Flow from Investing Activities</t>
  </si>
  <si>
    <t>Net Cash provided by Operating Activities</t>
  </si>
  <si>
    <t>Income before income tax and minority interests</t>
  </si>
  <si>
    <t>Cash Flow from Operating Activities</t>
  </si>
  <si>
    <t>Low</t>
  </si>
  <si>
    <t>High</t>
  </si>
  <si>
    <t>Date</t>
  </si>
  <si>
    <t>DCF Analysis</t>
  </si>
  <si>
    <t>Enterprise Value High</t>
  </si>
  <si>
    <t>Enterprise Value Low</t>
  </si>
  <si>
    <t>Multiple High</t>
  </si>
  <si>
    <t>Multiple Low</t>
  </si>
  <si>
    <t>Perpetuity Growth Rate</t>
  </si>
  <si>
    <t>Enterprise Value</t>
  </si>
  <si>
    <t>Exit Multiple</t>
  </si>
  <si>
    <t>Implied Perpetuity Growth Rate</t>
  </si>
  <si>
    <t>Implied EV/EBITDA</t>
  </si>
  <si>
    <t xml:space="preserve">     % of Enterprise Value</t>
  </si>
  <si>
    <t xml:space="preserve">     Present Value of Terminal Value</t>
  </si>
  <si>
    <t xml:space="preserve">Enterprise Value </t>
  </si>
  <si>
    <t>Implied Equity Value</t>
  </si>
  <si>
    <t>Discount Factor</t>
  </si>
  <si>
    <t xml:space="preserve">     Terminal Value</t>
  </si>
  <si>
    <t>Plus: Cash and Cash Equivalents</t>
  </si>
  <si>
    <t>Less: Noncontrolling Interest</t>
  </si>
  <si>
    <t>Less: Preferred Securities</t>
  </si>
  <si>
    <t>Terminal Value</t>
  </si>
  <si>
    <t>Less: Total Debt</t>
  </si>
  <si>
    <t>Cumulative Present Value of FCF</t>
  </si>
  <si>
    <t>Terminal Year Free Cash Flow (2018E)</t>
  </si>
  <si>
    <t>Present Value of Free Cash Flow</t>
  </si>
  <si>
    <t>Discount Period</t>
  </si>
  <si>
    <t>Unlevered Free Cash Flow</t>
  </si>
  <si>
    <t>Capital Expenditures</t>
  </si>
  <si>
    <t>Depreciation &amp; Amortization</t>
  </si>
  <si>
    <t>EBIAT</t>
  </si>
  <si>
    <t>Taxes</t>
  </si>
  <si>
    <t>% margin</t>
  </si>
  <si>
    <t>Depreciation and Amortization</t>
  </si>
  <si>
    <t>% growth</t>
  </si>
  <si>
    <t>Net Sales</t>
  </si>
  <si>
    <t>'14 - '18</t>
  </si>
  <si>
    <t>2018E</t>
  </si>
  <si>
    <t>2017E</t>
  </si>
  <si>
    <t>2016E</t>
  </si>
  <si>
    <t>2015E</t>
  </si>
  <si>
    <t>CAGR</t>
  </si>
  <si>
    <t>Projection Period</t>
  </si>
  <si>
    <t>Historical Period</t>
  </si>
  <si>
    <t>Select a Scenario:</t>
  </si>
  <si>
    <t>CapEx (% of sales)</t>
  </si>
  <si>
    <t>Tax Rate (in %)</t>
  </si>
  <si>
    <t>D&amp;A (% of sales)</t>
  </si>
  <si>
    <t>EBITDA margin (in %)</t>
  </si>
  <si>
    <t>Sales growth (in %)</t>
  </si>
  <si>
    <t>Auxiliary values for forecast</t>
  </si>
  <si>
    <t>Other current liabilities (% of sales)</t>
  </si>
  <si>
    <t>Other current asset (% of sales)</t>
  </si>
  <si>
    <t>Assumptions</t>
  </si>
  <si>
    <t>Change in Net Working Capital</t>
  </si>
  <si>
    <t>COGS</t>
  </si>
  <si>
    <t>Research and Development</t>
  </si>
  <si>
    <t>LTM</t>
  </si>
  <si>
    <t>Income Tax Receivable</t>
  </si>
  <si>
    <t>Q4 2013</t>
  </si>
  <si>
    <t>Industry</t>
  </si>
  <si>
    <t>Preferred Stock</t>
  </si>
  <si>
    <t>Unlevered Beta Corrected for Cash</t>
  </si>
  <si>
    <t>Cash/Firm Value</t>
  </si>
  <si>
    <t>EV</t>
  </si>
  <si>
    <t>Shares outstanding</t>
  </si>
  <si>
    <t xml:space="preserve">Cash </t>
  </si>
  <si>
    <t>Side calculation Cash/Firm Value</t>
  </si>
  <si>
    <t>Share Price (31.12.2013)</t>
  </si>
  <si>
    <t>Exchange Rate USD/EUR (31.12.2013):</t>
  </si>
  <si>
    <t>Exchange Rate SEK/EUR (31.12.2013):</t>
  </si>
  <si>
    <t>Actual Effective Tax Rate</t>
  </si>
  <si>
    <t xml:space="preserve">Depreciation and Amortization </t>
  </si>
  <si>
    <t>EBIT</t>
  </si>
  <si>
    <t>ROE</t>
  </si>
  <si>
    <t>'10 - '14</t>
  </si>
  <si>
    <t>'15 - '18</t>
  </si>
  <si>
    <t xml:space="preserve"> </t>
  </si>
  <si>
    <t>Other EU</t>
  </si>
  <si>
    <t>Comparable Company Analysis</t>
  </si>
  <si>
    <t>Enterprise Value/</t>
  </si>
  <si>
    <t>Company</t>
  </si>
  <si>
    <t>Ticker</t>
  </si>
  <si>
    <r>
      <rPr>
        <b/>
        <sz val="11"/>
        <color theme="1"/>
        <rFont val="Arial"/>
        <family val="2"/>
      </rPr>
      <t>Current</t>
    </r>
    <r>
      <rPr>
        <b/>
        <u/>
        <sz val="11"/>
        <color theme="1"/>
        <rFont val="Arial"/>
        <family val="2"/>
      </rPr>
      <t xml:space="preserve"> Share Price</t>
    </r>
  </si>
  <si>
    <r>
      <rPr>
        <b/>
        <sz val="11"/>
        <color theme="1"/>
        <rFont val="Arial"/>
        <family val="2"/>
      </rPr>
      <t>% of 52</t>
    </r>
    <r>
      <rPr>
        <b/>
        <u/>
        <sz val="11"/>
        <color theme="1"/>
        <rFont val="Arial"/>
        <family val="2"/>
      </rPr>
      <t xml:space="preserve"> week high</t>
    </r>
  </si>
  <si>
    <t>Equity Value</t>
  </si>
  <si>
    <r>
      <rPr>
        <b/>
        <sz val="11"/>
        <color theme="1"/>
        <rFont val="Arial"/>
        <family val="2"/>
      </rPr>
      <t xml:space="preserve">P/E
</t>
    </r>
    <r>
      <rPr>
        <b/>
        <u/>
        <sz val="11"/>
        <color theme="1"/>
        <rFont val="Arial"/>
        <family val="2"/>
      </rPr>
      <t>Multiple</t>
    </r>
  </si>
  <si>
    <t>Mean</t>
  </si>
  <si>
    <t>Respective exchange rates as of 31/12/2013</t>
  </si>
  <si>
    <t>USD/EUR</t>
  </si>
  <si>
    <t>Income taxes provisions (% of sales)</t>
  </si>
  <si>
    <t>1. APV</t>
  </si>
  <si>
    <t>Weighted Risk Free Rate</t>
  </si>
  <si>
    <t>Expected Return rA (CAPM)</t>
  </si>
  <si>
    <t>2. Discounted FCF</t>
  </si>
  <si>
    <t>Corporate tax rate</t>
  </si>
  <si>
    <t>Interest tax shield</t>
  </si>
  <si>
    <t>General Information</t>
  </si>
  <si>
    <t>Reported Income Statement</t>
  </si>
  <si>
    <t>Cash Flow Statement Data</t>
  </si>
  <si>
    <t>Company Name</t>
  </si>
  <si>
    <t>DAI</t>
  </si>
  <si>
    <t>Sales</t>
  </si>
  <si>
    <t xml:space="preserve">Stock Exchange </t>
  </si>
  <si>
    <t>XETRA</t>
  </si>
  <si>
    <t>% Sales</t>
  </si>
  <si>
    <t>Fiscal Year Ending</t>
  </si>
  <si>
    <t>Moody's Corporate Rating</t>
  </si>
  <si>
    <t>A3</t>
  </si>
  <si>
    <t>SG&amp;A</t>
  </si>
  <si>
    <t>S&amp;P Corporate Rating</t>
  </si>
  <si>
    <t>Other Expenses/Income</t>
  </si>
  <si>
    <t>Predicted Beta</t>
  </si>
  <si>
    <t>Interest Expense</t>
  </si>
  <si>
    <t>Balance Sheet Data</t>
  </si>
  <si>
    <t>Pre-tax Income</t>
  </si>
  <si>
    <t>Selected Market Data</t>
  </si>
  <si>
    <t>Cash and Cash Equivalents</t>
  </si>
  <si>
    <t>Current Price</t>
  </si>
  <si>
    <t>Noncontrolling Interest</t>
  </si>
  <si>
    <t>Accounts Receivable</t>
  </si>
  <si>
    <t xml:space="preserve">     % of 52-week High</t>
  </si>
  <si>
    <t>Preferred Dividends</t>
  </si>
  <si>
    <t>52-week High Price</t>
  </si>
  <si>
    <t>Prepaids and Other Current Assets</t>
  </si>
  <si>
    <t>52-week Low Price</t>
  </si>
  <si>
    <t>Total Current Assets</t>
  </si>
  <si>
    <t>Dividend per Share</t>
  </si>
  <si>
    <t>Effective Tax Rate</t>
  </si>
  <si>
    <t>Weighted Avg. Diluted Shares</t>
  </si>
  <si>
    <t>Property, Plant and Equipment, net</t>
  </si>
  <si>
    <t>Fully Diluted Shares Outstanding</t>
  </si>
  <si>
    <t>Diluted EPS</t>
  </si>
  <si>
    <t>Goodwill and Intangible Assets</t>
  </si>
  <si>
    <t xml:space="preserve">     Equity Value</t>
  </si>
  <si>
    <t>Other Assets</t>
  </si>
  <si>
    <t>Total Debt</t>
  </si>
  <si>
    <t>Adjusted Income Statement</t>
  </si>
  <si>
    <t>Reported Gross Profit</t>
  </si>
  <si>
    <t>Accounts Payable</t>
  </si>
  <si>
    <t>Non-recurring Items in COGS</t>
  </si>
  <si>
    <t>Accrued Liabilities</t>
  </si>
  <si>
    <t xml:space="preserve">     Enterprise Value</t>
  </si>
  <si>
    <t>Adj. Gross Profit</t>
  </si>
  <si>
    <t>Other Current Liabilities</t>
  </si>
  <si>
    <t>Trading Multiples</t>
  </si>
  <si>
    <t>Reported EBIT</t>
  </si>
  <si>
    <t>Other Long-term Liabilities</t>
  </si>
  <si>
    <t>EV/Sales</t>
  </si>
  <si>
    <t>Other Non-recurring Items</t>
  </si>
  <si>
    <t>Adj. EBIT</t>
  </si>
  <si>
    <t>EV/EBITDA</t>
  </si>
  <si>
    <t>EV/EBIT</t>
  </si>
  <si>
    <t>Shareholder's Equity</t>
  </si>
  <si>
    <t>Adj. EBITDA</t>
  </si>
  <si>
    <t>Total Liabilities and Equities</t>
  </si>
  <si>
    <t>P/E</t>
  </si>
  <si>
    <t>Balance Check</t>
  </si>
  <si>
    <t>Reported Net Income</t>
  </si>
  <si>
    <t>Notes</t>
  </si>
  <si>
    <t>Invested Capital</t>
  </si>
  <si>
    <t>Non-operating Non-rec. Items</t>
  </si>
  <si>
    <t>Avg Net Debt</t>
  </si>
  <si>
    <t>Tax Adjustment</t>
  </si>
  <si>
    <t>Adjusted Net Income</t>
  </si>
  <si>
    <t>Adjusted Diluted EPS</t>
  </si>
  <si>
    <t>PCAR</t>
  </si>
  <si>
    <t>NASDAQ</t>
  </si>
  <si>
    <t>Oshkosh Corp</t>
  </si>
  <si>
    <t>OSK</t>
  </si>
  <si>
    <t>Ba2</t>
  </si>
  <si>
    <t>B</t>
  </si>
  <si>
    <t>Nasdaq Stockholm</t>
  </si>
  <si>
    <t>DEC-31</t>
  </si>
  <si>
    <t>Other current provisions (% of sales)</t>
  </si>
  <si>
    <t>Prepayments received (% of sales)</t>
  </si>
  <si>
    <t>Assets held for sale (% of sales)</t>
  </si>
  <si>
    <t>Other current assets (% of sales)</t>
  </si>
  <si>
    <t>Trade receivables (% of sales)</t>
  </si>
  <si>
    <t>Liabilities associated with assets held for sale (% of sales)</t>
  </si>
  <si>
    <t>EUR/SEK</t>
  </si>
  <si>
    <t>Growth Rate</t>
  </si>
  <si>
    <t>Dividend</t>
  </si>
  <si>
    <t>Current Stock Price</t>
  </si>
  <si>
    <t>Dongfeng</t>
  </si>
  <si>
    <t>HK Stock Exchange</t>
  </si>
  <si>
    <t>EUR/RMB</t>
  </si>
  <si>
    <t>Deutz</t>
  </si>
  <si>
    <t>DEZ</t>
  </si>
  <si>
    <t>Dürr</t>
  </si>
  <si>
    <t>DUE</t>
  </si>
  <si>
    <t>Navistar</t>
  </si>
  <si>
    <t>converted to EUR</t>
  </si>
  <si>
    <t>NAV</t>
  </si>
  <si>
    <t>NYSE</t>
  </si>
  <si>
    <t>Discontinued Operations</t>
  </si>
  <si>
    <t>LTM EBITDA</t>
  </si>
  <si>
    <t>Implied Equity Value and Implied Share Price</t>
  </si>
  <si>
    <t>Implied Share Price</t>
  </si>
  <si>
    <t>Scenario 1: Base Case</t>
  </si>
  <si>
    <t>Scenario 2: Bull Case</t>
  </si>
  <si>
    <t>Scenario 3: Bear Case</t>
  </si>
  <si>
    <t>Oshkosh</t>
  </si>
  <si>
    <t>Growth rate:</t>
  </si>
  <si>
    <t>Average</t>
  </si>
  <si>
    <t>Enterprise Value of MAN</t>
  </si>
  <si>
    <t>Exit Multiple (fix)</t>
  </si>
  <si>
    <t>WACC (fix)</t>
  </si>
  <si>
    <t>Present value of tax shields</t>
  </si>
  <si>
    <t>APV</t>
  </si>
  <si>
    <t xml:space="preserve">Dongfeng </t>
  </si>
  <si>
    <t>Median Beta</t>
  </si>
  <si>
    <t>(Source: Ariva.de; Information for some days missing)</t>
  </si>
  <si>
    <t>Riskfree Rate used European Rates of French &amp; Fama</t>
  </si>
  <si>
    <t>Stock Prices</t>
  </si>
  <si>
    <t>Ln-Returns</t>
  </si>
  <si>
    <t>Datum</t>
  </si>
  <si>
    <t>MDAX</t>
  </si>
  <si>
    <t>Common</t>
  </si>
  <si>
    <t>Preferred</t>
  </si>
  <si>
    <t>Riskfree Rate</t>
  </si>
  <si>
    <t>Rm-Rf</t>
  </si>
  <si>
    <t>Rc-Rf</t>
  </si>
  <si>
    <t>Rp-Rf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</si>
  <si>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</si>
  <si>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</si>
  <si>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</si>
  <si>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</si>
  <si>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</si>
  <si>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</si>
  <si>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</si>
  <si>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</si>
  <si>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</si>
  <si>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</si>
  <si>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</si>
  <si>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</si>
  <si>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</si>
  <si>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</si>
  <si>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</si>
  <si>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</si>
  <si>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</si>
  <si>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</si>
  <si>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</si>
  <si>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</si>
  <si>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</si>
  <si>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</si>
  <si>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Intercept</t>
  </si>
  <si>
    <t>X Variable 1</t>
  </si>
  <si>
    <t>Monthly alpha</t>
  </si>
  <si>
    <t>Yearly alpha</t>
  </si>
  <si>
    <t>Standard error</t>
  </si>
  <si>
    <t>95% probability true value of alpha lies in the range of:</t>
  </si>
  <si>
    <t>&gt;It is not significant as it might as well be zero</t>
  </si>
  <si>
    <t>Beta Value is significant -&gt;</t>
  </si>
  <si>
    <t>T-stat is statistically significant (6,34 &gt; 1,96)</t>
  </si>
  <si>
    <t>T-stat is statistically significant (2,76 &gt; 1,96)</t>
  </si>
  <si>
    <t>Common Shares</t>
  </si>
  <si>
    <t>Preferred Shares</t>
  </si>
  <si>
    <t>Number of Shares</t>
  </si>
  <si>
    <t>Average Market Risk Premium (MRP) in the last 10 years:</t>
  </si>
  <si>
    <t>Monthly average:</t>
  </si>
  <si>
    <t>Weights of Shares</t>
  </si>
  <si>
    <t>Yearly average MRP:</t>
  </si>
  <si>
    <t>Weighted Cost of Equity</t>
  </si>
  <si>
    <t>We used the Risk Premium of Germany instead of the calculated MRP as per in class used formula</t>
  </si>
  <si>
    <t>Alpha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</si>
  <si>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F</t>
    </r>
  </si>
  <si>
    <t>Monthly:</t>
  </si>
  <si>
    <t>Insignificant statistically</t>
  </si>
  <si>
    <t>Yearly:</t>
  </si>
  <si>
    <t>Yearly risk-free  return:</t>
  </si>
  <si>
    <t>Beta:</t>
  </si>
  <si>
    <t>Significant statistically</t>
  </si>
  <si>
    <t>date</t>
  </si>
  <si>
    <t>Market Return</t>
  </si>
  <si>
    <t>RD-Rf</t>
  </si>
  <si>
    <t>LN(Daimler)</t>
  </si>
  <si>
    <t>LN(Paccar)</t>
  </si>
  <si>
    <t>RP-Rf</t>
  </si>
  <si>
    <t>LN(Oshkosh)</t>
  </si>
  <si>
    <t>LN(Dongfeng)</t>
  </si>
  <si>
    <t>RV-Rf</t>
  </si>
  <si>
    <t>LN(Deutz)</t>
  </si>
  <si>
    <t>LN(Dürr)</t>
  </si>
  <si>
    <t>RM-Rf</t>
  </si>
  <si>
    <t>Rd-Rf</t>
  </si>
  <si>
    <t>RO-Rf</t>
  </si>
  <si>
    <t>S&amp;P500</t>
  </si>
  <si>
    <t>Ln(S&amp;P500)</t>
  </si>
  <si>
    <t>RINX-Rf</t>
  </si>
  <si>
    <t>OMX</t>
  </si>
  <si>
    <t>Hang-Seng</t>
  </si>
  <si>
    <t>LN(Hang-Seng)</t>
  </si>
  <si>
    <t>RHN-Rf</t>
  </si>
  <si>
    <t>Implied Valuation Range</t>
  </si>
  <si>
    <t>MAN SE</t>
  </si>
  <si>
    <t>Merger Market</t>
  </si>
  <si>
    <t>Schrader International, Inc.</t>
  </si>
  <si>
    <t>Madison Dearborn Partners LLC</t>
  </si>
  <si>
    <t>Tomkins ltd</t>
  </si>
  <si>
    <t>Ducati Motor Holding S.p.A.</t>
  </si>
  <si>
    <t>Audi AG</t>
  </si>
  <si>
    <t>InvestIndustrial; BS Private Equity; Synergo SGR S.p.A.</t>
  </si>
  <si>
    <t>Deutz AG (18.3% Stake)</t>
  </si>
  <si>
    <t>AB Volvo</t>
  </si>
  <si>
    <t>Same Deutz-Fahr Group</t>
  </si>
  <si>
    <t>Dr. Ing. h.c. F. Porsche AG (50.1% Stake)</t>
  </si>
  <si>
    <t>Volkswagen AG</t>
  </si>
  <si>
    <t>Porsche Automobil Holding SE</t>
  </si>
  <si>
    <t>CFAO SA</t>
  </si>
  <si>
    <t>Toyota Tsusho Corporation</t>
  </si>
  <si>
    <t>Kering</t>
  </si>
  <si>
    <t xml:space="preserve">ixetic Verwaltungs GmbH </t>
  </si>
  <si>
    <t>Magna International Inc</t>
  </si>
  <si>
    <t>Motion Equity Partners LLP</t>
  </si>
  <si>
    <t>Anvis Group AG</t>
  </si>
  <si>
    <t>Sumitomo Riko Company Limited</t>
  </si>
  <si>
    <t>H.I.G. Capital, LLC</t>
  </si>
  <si>
    <t>Sator Holding B.V.</t>
  </si>
  <si>
    <t>LKQ Corporation, Inc.</t>
  </si>
  <si>
    <t>Cooperative H2 Equity Partners Fund III Holding UA</t>
  </si>
  <si>
    <t>MAN SE (24.97% Stake)</t>
  </si>
  <si>
    <t>Doosan Industrial Vehicle Co., Ltd.</t>
  </si>
  <si>
    <t>Doosan Corporation</t>
  </si>
  <si>
    <t>DIP Holdings Co.</t>
  </si>
  <si>
    <t>Pirelli &amp; C. S.p.A. (3.94% Stake)</t>
  </si>
  <si>
    <t>Harbor Funds - Harbor International Fund</t>
  </si>
  <si>
    <t>Assicurazioni Generali S.p.A.</t>
  </si>
  <si>
    <t>Chrysler Group LLC (41.46% Stake)</t>
  </si>
  <si>
    <t>Fiat North America LLC</t>
  </si>
  <si>
    <t xml:space="preserve">Voluntary Employees Beneficiary Association </t>
  </si>
  <si>
    <t xml:space="preserve">Veyance Technologies Inc. </t>
  </si>
  <si>
    <t>Continental AG</t>
  </si>
  <si>
    <t>Carlyle Partners LP</t>
  </si>
  <si>
    <t>Scania AB (37,4% stake)</t>
  </si>
  <si>
    <t>The Gates Corporation</t>
  </si>
  <si>
    <t>Blackstone Group L.P.</t>
  </si>
  <si>
    <t>Onex Corporation</t>
  </si>
  <si>
    <t>Ace Corporation Holdings Limited</t>
  </si>
  <si>
    <t>RPC Group Plc</t>
  </si>
  <si>
    <t>Cobra Automotive Technologies Spa</t>
  </si>
  <si>
    <t>Vodafone Group Plc</t>
  </si>
  <si>
    <t>Faster SpA</t>
  </si>
  <si>
    <t>Capvis Equity Partners AG</t>
  </si>
  <si>
    <t xml:space="preserve">Argan Capital Advisors LLP </t>
  </si>
  <si>
    <t>P/E 
Multiple</t>
  </si>
  <si>
    <t>EBIT 
Multiple</t>
  </si>
  <si>
    <t>EBITDA 
Multiple</t>
  </si>
  <si>
    <t>Revenue 
Multiple</t>
  </si>
  <si>
    <t>Enterprise Value
(Millions of €)</t>
  </si>
  <si>
    <t>Deal Value
(Millions of €)</t>
  </si>
  <si>
    <t>Target</t>
  </si>
  <si>
    <t>Acquirer</t>
  </si>
  <si>
    <t>Seller</t>
  </si>
  <si>
    <t>Date 
Completed</t>
  </si>
  <si>
    <t xml:space="preserve">Date 
Announced </t>
  </si>
  <si>
    <t>Scania</t>
  </si>
  <si>
    <t>LN(Scania)</t>
  </si>
  <si>
    <t>LN(OMX)</t>
  </si>
  <si>
    <t>ROMX-Rf</t>
  </si>
  <si>
    <t xml:space="preserve">Side Calculation Comparable Company Beta (for Additional Information see Company Tab) </t>
  </si>
  <si>
    <t>Regression Preferred Shares</t>
  </si>
  <si>
    <t>Regression Common Shares</t>
  </si>
  <si>
    <t>Cost of equity from regression</t>
  </si>
  <si>
    <t>Average Beta</t>
  </si>
  <si>
    <t>Current receivables</t>
  </si>
  <si>
    <t>Interest Expense/Income</t>
  </si>
  <si>
    <t>SCN</t>
  </si>
  <si>
    <t>in million €</t>
  </si>
  <si>
    <t>Comparable Transactions</t>
  </si>
  <si>
    <t>Comparable Company Valuation</t>
  </si>
  <si>
    <t>Enterprise Value using Perpetuity Growth</t>
  </si>
  <si>
    <t>FCF (2018E)</t>
  </si>
  <si>
    <t>Perpetuity Growth</t>
  </si>
  <si>
    <t>EBIT/DA LTM</t>
  </si>
  <si>
    <t>Present Value of net CF from taking projects right now</t>
  </si>
  <si>
    <t>standard deviation in present value of project cash flows</t>
  </si>
  <si>
    <t>Life of the patent (in years)</t>
  </si>
  <si>
    <t>Risk free rate</t>
  </si>
  <si>
    <t>d1</t>
  </si>
  <si>
    <t>Annual cost of delaying the project</t>
  </si>
  <si>
    <t>Variance</t>
  </si>
  <si>
    <t>Annuallized yield</t>
  </si>
  <si>
    <t>Delay of project</t>
  </si>
  <si>
    <t>N(d1)</t>
  </si>
  <si>
    <t>d2</t>
  </si>
  <si>
    <t>N(d2)</t>
  </si>
  <si>
    <t>Value of the patent</t>
  </si>
  <si>
    <t>VALUING A LONG TERM OPTION/WARRANT</t>
  </si>
  <si>
    <t>T.Bond rate=</t>
  </si>
  <si>
    <t>Strike Price=</t>
  </si>
  <si>
    <t>Variance=</t>
  </si>
  <si>
    <t>Expiration (in years) =</t>
  </si>
  <si>
    <t>Annualized dividend yield=</t>
  </si>
  <si>
    <t>d1 =</t>
  </si>
  <si>
    <t>N(d1) =</t>
  </si>
  <si>
    <t>d2 =</t>
  </si>
  <si>
    <t>N(d2) =</t>
  </si>
  <si>
    <t>Value of the product patent/project right =</t>
  </si>
  <si>
    <t>yes</t>
  </si>
  <si>
    <t>Short-term investments</t>
  </si>
  <si>
    <t>accounts receivable</t>
  </si>
  <si>
    <t>Other receivables</t>
  </si>
  <si>
    <t>deferrex tax assets</t>
  </si>
  <si>
    <t>Long-term investments</t>
  </si>
  <si>
    <t>restricted cash</t>
  </si>
  <si>
    <t>Goodwill</t>
  </si>
  <si>
    <t>accrued liabilities</t>
  </si>
  <si>
    <t>deferred revenue</t>
  </si>
  <si>
    <t>Capital-Stock and additional paid-in capital</t>
  </si>
  <si>
    <t>Amortization</t>
  </si>
  <si>
    <t>Q1-2</t>
  </si>
  <si>
    <t>Deffered income taxes</t>
  </si>
  <si>
    <t>Stock-based compensation</t>
  </si>
  <si>
    <t>Loss on disposal of PPE</t>
  </si>
  <si>
    <t>Debentures fair value adjustment</t>
  </si>
  <si>
    <t>other</t>
  </si>
  <si>
    <t>Net changes in working capital items</t>
  </si>
  <si>
    <t>accounts receivable, net</t>
  </si>
  <si>
    <t>other receivables</t>
  </si>
  <si>
    <t>inventories</t>
  </si>
  <si>
    <t>income taxes receivables. Net</t>
  </si>
  <si>
    <t>accounts payable</t>
  </si>
  <si>
    <t>other current assets</t>
  </si>
  <si>
    <t>Acquisition of long-term investments</t>
  </si>
  <si>
    <t xml:space="preserve">Proceeds on sale or maturity of long-term investments </t>
  </si>
  <si>
    <t>Acquisition of PPE</t>
  </si>
  <si>
    <t>Acquisition of intangible asets</t>
  </si>
  <si>
    <t>Business acquisitions. Net of cash acquired</t>
  </si>
  <si>
    <t>acquisition of short-term investments</t>
  </si>
  <si>
    <t xml:space="preserve">Proceeds on sale or maturity of short-term investments </t>
  </si>
  <si>
    <t>Effect of foreign-exchange on investing activities</t>
  </si>
  <si>
    <t>Issuance of common shares</t>
  </si>
  <si>
    <t>Common shares repurchased</t>
  </si>
  <si>
    <t>Transfer from(to) restricted cash</t>
  </si>
  <si>
    <t>Sellling, marketing and administration</t>
  </si>
  <si>
    <t>Impairment of long-lived assets</t>
  </si>
  <si>
    <t>in million USD</t>
  </si>
  <si>
    <t>Treasury Stock</t>
  </si>
  <si>
    <t>Impairment of goodwill</t>
  </si>
  <si>
    <t>Proceeds on sale of PPE</t>
  </si>
  <si>
    <t>Excess tax benefit related to stock-based compensation</t>
  </si>
  <si>
    <t>Purchase of treasury stock</t>
  </si>
  <si>
    <t>Issuance of debt</t>
  </si>
  <si>
    <t>2019E</t>
  </si>
  <si>
    <t>2020E</t>
  </si>
  <si>
    <t>Assets held for sale</t>
  </si>
  <si>
    <t>Income tax payable</t>
  </si>
  <si>
    <t>Investment income (net)</t>
  </si>
  <si>
    <t>Provision for income taxes</t>
  </si>
  <si>
    <t>Fairfax Debenture</t>
  </si>
  <si>
    <t>Current Value</t>
  </si>
  <si>
    <t>Canada</t>
  </si>
  <si>
    <t>UK</t>
  </si>
  <si>
    <t>Latin America</t>
  </si>
  <si>
    <t>Asia Pacific</t>
  </si>
  <si>
    <t>D/(D+E)</t>
  </si>
  <si>
    <t>E/(D+E)</t>
  </si>
  <si>
    <t>Debenture made to Fairfax (option will be disregarded)</t>
  </si>
  <si>
    <t>Q1-Q2 2016</t>
  </si>
  <si>
    <t>Q1-2 year before</t>
  </si>
  <si>
    <t>Equity risk Premium Canada</t>
  </si>
  <si>
    <t xml:space="preserve">UK </t>
  </si>
  <si>
    <t>Other  Europe</t>
  </si>
  <si>
    <t xml:space="preserve"> s</t>
  </si>
  <si>
    <t>Terminal Value EBITDA (2020E)</t>
  </si>
  <si>
    <r>
      <rPr>
        <b/>
        <sz val="11"/>
        <color theme="1"/>
        <rFont val="Arial"/>
        <family val="2"/>
      </rPr>
      <t>2015</t>
    </r>
    <r>
      <rPr>
        <b/>
        <u/>
        <sz val="11"/>
        <color theme="1"/>
        <rFont val="Arial"/>
        <family val="2"/>
      </rPr>
      <t xml:space="preserve">
Sales</t>
    </r>
  </si>
  <si>
    <r>
      <rPr>
        <b/>
        <sz val="11"/>
        <color theme="1"/>
        <rFont val="Arial"/>
        <family val="2"/>
      </rPr>
      <t xml:space="preserve">2015
</t>
    </r>
    <r>
      <rPr>
        <b/>
        <u/>
        <sz val="11"/>
        <color theme="1"/>
        <rFont val="Arial"/>
        <family val="2"/>
      </rPr>
      <t>EBITDA</t>
    </r>
  </si>
  <si>
    <r>
      <rPr>
        <b/>
        <sz val="11"/>
        <color theme="1"/>
        <rFont val="Arial"/>
        <family val="2"/>
      </rPr>
      <t xml:space="preserve">2015
</t>
    </r>
    <r>
      <rPr>
        <b/>
        <u/>
        <sz val="11"/>
        <color theme="1"/>
        <rFont val="Arial"/>
        <family val="2"/>
      </rPr>
      <t>EBIT</t>
    </r>
  </si>
  <si>
    <t>Patent Book value</t>
  </si>
  <si>
    <t>Present value of costs to develop and implement the patent</t>
  </si>
  <si>
    <t>Free cashflow</t>
  </si>
  <si>
    <t>BlackBerry Limited</t>
  </si>
  <si>
    <t>Income Statement</t>
  </si>
  <si>
    <t>For the Fiscal Period Ending</t>
  </si>
  <si>
    <t>In Millions of USD</t>
  </si>
  <si>
    <t>Balance Sheet</t>
  </si>
  <si>
    <t>Balance Sheet as of:</t>
  </si>
  <si>
    <t xml:space="preserve">BlackBerry Limited </t>
  </si>
  <si>
    <t>Cash Flow</t>
  </si>
  <si>
    <t>US$mill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</si>
</sst>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$&quot;#,##0.00_);[Red]\(&quot;$&quot;#,##0.00\)"/>
    <numFmt numFmtId="44" formatCode="_(&quot;$&quot;* #,##0.00_);_(&quot;$&quot;* \(#,##0.00\);_(&quot;$&quot;* &quot;-&quot;??_);_(@_)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.0000\ _€_-;\-* #,##0.0000\ _€_-;_-* &quot;-&quot;??\ _€_-;_-@_-"/>
    <numFmt numFmtId="168" formatCode="0.0000%"/>
    <numFmt numFmtId="169" formatCode="0.0%"/>
    <numFmt numFmtId="170" formatCode="_-* #,##0.00\ _€_-;\-* #,##0.00\ _€_-;_-* &quot;-&quot;\ _€_-;_-@_-"/>
    <numFmt numFmtId="171" formatCode="_-* #,##0\ _€_-;\-* #,##0\ _€_-;_-* &quot;-&quot;??\ _€_-;_-@_-"/>
    <numFmt numFmtId="172" formatCode="0.00\ \x"/>
    <numFmt numFmtId="173" formatCode="#,##0.00\ \x"/>
    <numFmt numFmtId="174" formatCode="#,##0_ ;\-#,##0\ "/>
    <numFmt numFmtId="175" formatCode="0.000"/>
    <numFmt numFmtId="176" formatCode="#,##0.000\ _€;\-#,##0.000\ _€"/>
    <numFmt numFmtId="177" formatCode="#,##0.00_ ;\-#,##0.00\ "/>
    <numFmt numFmtId="178" formatCode="_-* #,##0.00000\ _€_-;\-* #,##0.00000\ _€_-;_-* &quot;-&quot;??\ _€_-;_-@_-"/>
    <numFmt numFmtId="179" formatCode="0.000%"/>
    <numFmt numFmtId="180" formatCode="_-* #,##0.000\ _€_-;\-* #,##0.000\ _€_-;_-* &quot;-&quot;??\ _€_-;_-@_-"/>
    <numFmt numFmtId="181" formatCode="0.00000000%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theme="1"/>
      <name val="Calibri"/>
      <family val="2"/>
      <scheme val="minor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Courier"/>
      <family val="3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39"/>
      <name val="Arial"/>
      <family val="2"/>
    </font>
    <font>
      <b/>
      <sz val="8"/>
      <color indexed="10"/>
      <name val="Arial"/>
      <family val="2"/>
    </font>
    <font>
      <sz val="8"/>
      <color indexed="63"/>
      <name val="Arial"/>
      <family val="2"/>
    </font>
    <font>
      <b/>
      <sz val="8"/>
      <color indexed="9"/>
      <name val="Arial"/>
      <family val="2"/>
    </font>
    <font>
      <b/>
      <sz val="18"/>
      <color indexed="2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.5"/>
      <name val="Expert Sans Regular"/>
    </font>
    <font>
      <sz val="11"/>
      <color indexed="17"/>
      <name val="ＭＳ Ｐゴシック"/>
      <family val="3"/>
      <charset val="128"/>
    </font>
    <font>
      <b/>
      <sz val="15"/>
      <color indexed="24"/>
      <name val="ＭＳ Ｐゴシック"/>
      <family val="3"/>
      <charset val="128"/>
    </font>
    <font>
      <b/>
      <sz val="13"/>
      <color indexed="24"/>
      <name val="ＭＳ Ｐゴシック"/>
      <family val="3"/>
      <charset val="128"/>
    </font>
    <font>
      <b/>
      <sz val="11"/>
      <color indexed="2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color rgb="FF333333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1"/>
      <color rgb="FF252D39"/>
      <name val="Calibri"/>
      <family val="2"/>
      <scheme val="minor"/>
    </font>
    <font>
      <sz val="11"/>
      <color rgb="FF252D3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name val="Geneva"/>
    </font>
    <font>
      <sz val="10"/>
      <name val="Tms Rmn"/>
    </font>
    <font>
      <b/>
      <sz val="10"/>
      <name val="Tms Rmn"/>
    </font>
    <font>
      <b/>
      <sz val="10"/>
      <name val="Geneva"/>
    </font>
    <font>
      <sz val="8"/>
      <name val="Calibri"/>
      <family val="2"/>
      <scheme val="minor"/>
    </font>
    <font>
      <sz val="10"/>
      <color indexed="81"/>
      <name val="Calibri"/>
    </font>
    <font>
      <b/>
      <sz val="10"/>
      <color indexed="81"/>
      <name val="Calibri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252D39"/>
      <name val="Arial"/>
    </font>
    <font>
      <b/>
      <sz val="20"/>
      <color theme="0"/>
      <name val="Calibri"/>
      <family val="2"/>
      <scheme val="minor"/>
    </font>
    <font>
      <b/>
      <sz val="11"/>
      <color indexed="9"/>
      <name val="Verdana"/>
      <family val="2"/>
    </font>
    <font>
      <b/>
      <sz val="11"/>
      <color indexed="8"/>
      <name val="Arial"/>
      <family val="2"/>
    </font>
    <font>
      <b/>
      <sz val="16"/>
      <color indexed="8"/>
      <name val="Verdana"/>
      <family val="2"/>
    </font>
    <font>
      <b/>
      <sz val="11"/>
      <color indexed="9"/>
      <name val="Arial"/>
      <family val="2"/>
    </font>
    <font>
      <b/>
      <sz val="16"/>
      <color indexed="8"/>
      <name val="Arial"/>
      <family val="2"/>
    </font>
    <font>
      <b/>
      <sz val="13"/>
      <color indexed="8"/>
      <name val="Verdana"/>
    </font>
    <font>
      <sz val="8"/>
      <name val="Arial"/>
    </font>
  </fonts>
  <fills count="6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3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rgb="FF474747"/>
        <bgColor indexed="64"/>
      </patternFill>
    </fill>
    <fill>
      <patternFill patternType="solid">
        <fgColor rgb="FF24242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52D39"/>
        <bgColor indexed="64"/>
      </patternFill>
    </fill>
    <fill>
      <patternFill patternType="solid">
        <fgColor rgb="FFEA003D"/>
        <bgColor indexed="64"/>
      </patternFill>
    </fill>
    <fill>
      <patternFill patternType="solid">
        <fgColor rgb="FF9E9F9E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E9F9E"/>
        <bgColor rgb="FF000000"/>
      </patternFill>
    </fill>
    <fill>
      <patternFill patternType="solid">
        <fgColor indexed="56"/>
        <bgColor indexed="64"/>
      </patternFill>
    </fill>
    <fill>
      <patternFill patternType="solid">
        <fgColor theme="4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26"/>
      </bottom>
      <diagonal/>
    </border>
    <border>
      <left/>
      <right/>
      <top style="thin">
        <color indexed="29"/>
      </top>
      <bottom style="double">
        <color indexed="29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6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1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0" fontId="14" fillId="0" borderId="0" applyNumberFormat="0" applyFill="0" applyBorder="0" applyProtection="0">
      <alignment horizontal="center"/>
    </xf>
    <xf numFmtId="0" fontId="14" fillId="11" borderId="0" applyNumberFormat="0" applyBorder="0" applyAlignment="0" applyProtection="0"/>
    <xf numFmtId="4" fontId="13" fillId="0" borderId="0" applyFill="0" applyBorder="0" applyAlignment="0" applyProtection="0"/>
    <xf numFmtId="4" fontId="15" fillId="0" borderId="0" applyFill="0" applyBorder="0" applyAlignment="0" applyProtection="0"/>
    <xf numFmtId="0" fontId="16" fillId="12" borderId="0" applyNumberFormat="0" applyBorder="0" applyAlignment="0" applyProtection="0"/>
    <xf numFmtId="4" fontId="17" fillId="0" borderId="0" applyFill="0" applyBorder="0" applyAlignment="0" applyProtection="0"/>
    <xf numFmtId="0" fontId="18" fillId="13" borderId="0" applyNumberFormat="0" applyBorder="0" applyAlignment="0" applyProtection="0"/>
    <xf numFmtId="0" fontId="14" fillId="14" borderId="0" applyNumberFormat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22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1" fillId="7" borderId="23" applyNumberFormat="0" applyFon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6" borderId="25" applyNumberFormat="0" applyAlignment="0" applyProtection="0">
      <alignment vertical="center"/>
    </xf>
    <xf numFmtId="0" fontId="24" fillId="8" borderId="26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0" borderId="0"/>
    <xf numFmtId="0" fontId="27" fillId="22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2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56" fillId="0" borderId="0" applyNumberFormat="0" applyFill="0" applyBorder="0" applyAlignment="0" applyProtection="0"/>
    <xf numFmtId="0" fontId="57" fillId="0" borderId="49" applyNumberFormat="0" applyFill="0" applyAlignment="0" applyProtection="0"/>
    <xf numFmtId="0" fontId="58" fillId="0" borderId="50" applyNumberFormat="0" applyFill="0" applyAlignment="0" applyProtection="0"/>
    <xf numFmtId="0" fontId="59" fillId="0" borderId="51" applyNumberFormat="0" applyFill="0" applyAlignment="0" applyProtection="0"/>
    <xf numFmtId="0" fontId="59" fillId="0" borderId="0" applyNumberFormat="0" applyFill="0" applyBorder="0" applyAlignment="0" applyProtection="0"/>
    <xf numFmtId="0" fontId="60" fillId="31" borderId="0" applyNumberFormat="0" applyBorder="0" applyAlignment="0" applyProtection="0"/>
    <xf numFmtId="0" fontId="61" fillId="32" borderId="0" applyNumberFormat="0" applyBorder="0" applyAlignment="0" applyProtection="0"/>
    <xf numFmtId="0" fontId="62" fillId="33" borderId="0" applyNumberFormat="0" applyBorder="0" applyAlignment="0" applyProtection="0"/>
    <xf numFmtId="0" fontId="63" fillId="34" borderId="52" applyNumberFormat="0" applyAlignment="0" applyProtection="0"/>
    <xf numFmtId="0" fontId="64" fillId="35" borderId="53" applyNumberFormat="0" applyAlignment="0" applyProtection="0"/>
    <xf numFmtId="0" fontId="65" fillId="35" borderId="52" applyNumberFormat="0" applyAlignment="0" applyProtection="0"/>
    <xf numFmtId="0" fontId="66" fillId="0" borderId="54" applyNumberFormat="0" applyFill="0" applyAlignment="0" applyProtection="0"/>
    <xf numFmtId="0" fontId="2" fillId="36" borderId="55" applyNumberFormat="0" applyAlignment="0" applyProtection="0"/>
    <xf numFmtId="0" fontId="67" fillId="0" borderId="0" applyNumberFormat="0" applyFill="0" applyBorder="0" applyAlignment="0" applyProtection="0"/>
    <xf numFmtId="0" fontId="1" fillId="37" borderId="56" applyNumberFormat="0" applyFont="0" applyAlignment="0" applyProtection="0"/>
    <xf numFmtId="0" fontId="68" fillId="0" borderId="0" applyNumberFormat="0" applyFill="0" applyBorder="0" applyAlignment="0" applyProtection="0"/>
    <xf numFmtId="0" fontId="3" fillId="0" borderId="57" applyNumberFormat="0" applyFill="0" applyAlignment="0" applyProtection="0"/>
    <xf numFmtId="0" fontId="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" fillId="61" borderId="0" applyNumberFormat="0" applyBorder="0" applyAlignment="0" applyProtection="0"/>
    <xf numFmtId="0" fontId="71" fillId="0" borderId="0"/>
    <xf numFmtId="8" fontId="7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</cellStyleXfs>
  <cellXfs count="620">
    <xf numFmtId="0" fontId="0" fillId="0" borderId="0" xfId="0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9" fontId="0" fillId="0" borderId="0" xfId="2" applyFont="1"/>
    <xf numFmtId="10" fontId="0" fillId="0" borderId="0" xfId="2" applyNumberFormat="1" applyFont="1"/>
    <xf numFmtId="167" fontId="0" fillId="0" borderId="0" xfId="0" applyNumberFormat="1"/>
    <xf numFmtId="168" fontId="0" fillId="0" borderId="0" xfId="2" applyNumberFormat="1" applyFont="1"/>
    <xf numFmtId="0" fontId="0" fillId="0" borderId="0" xfId="0" applyFill="1"/>
    <xf numFmtId="0" fontId="3" fillId="0" borderId="0" xfId="0" applyFont="1"/>
    <xf numFmtId="166" fontId="0" fillId="0" borderId="0" xfId="0" applyNumberFormat="1"/>
    <xf numFmtId="168" fontId="3" fillId="0" borderId="0" xfId="2" applyNumberFormat="1" applyFont="1"/>
    <xf numFmtId="10" fontId="0" fillId="0" borderId="0" xfId="0" applyNumberFormat="1"/>
    <xf numFmtId="168" fontId="0" fillId="0" borderId="0" xfId="0" applyNumberFormat="1"/>
    <xf numFmtId="0" fontId="0" fillId="2" borderId="11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0" xfId="0" applyFont="1" applyFill="1" applyBorder="1"/>
    <xf numFmtId="0" fontId="0" fillId="2" borderId="15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0" fillId="2" borderId="18" xfId="0" applyFont="1" applyFill="1" applyBorder="1"/>
    <xf numFmtId="9" fontId="0" fillId="0" borderId="0" xfId="2" applyFont="1" applyAlignment="1"/>
    <xf numFmtId="2" fontId="0" fillId="0" borderId="0" xfId="0" applyNumberFormat="1"/>
    <xf numFmtId="0" fontId="0" fillId="0" borderId="0" xfId="0"/>
    <xf numFmtId="10" fontId="0" fillId="0" borderId="31" xfId="0" applyNumberFormat="1" applyBorder="1"/>
    <xf numFmtId="0" fontId="2" fillId="0" borderId="0" xfId="0" applyFont="1" applyFill="1" applyAlignment="1"/>
    <xf numFmtId="2" fontId="0" fillId="0" borderId="0" xfId="2" applyNumberFormat="1" applyFont="1"/>
    <xf numFmtId="0" fontId="35" fillId="0" borderId="0" xfId="0" applyFont="1" applyBorder="1"/>
    <xf numFmtId="166" fontId="35" fillId="0" borderId="0" xfId="0" applyNumberFormat="1" applyFont="1" applyBorder="1"/>
    <xf numFmtId="3" fontId="36" fillId="23" borderId="0" xfId="0" applyNumberFormat="1" applyFont="1" applyFill="1" applyBorder="1"/>
    <xf numFmtId="0" fontId="37" fillId="0" borderId="0" xfId="0" applyFont="1" applyBorder="1" applyAlignment="1">
      <alignment horizontal="right"/>
    </xf>
    <xf numFmtId="0" fontId="38" fillId="23" borderId="0" xfId="0" applyFont="1" applyFill="1" applyBorder="1"/>
    <xf numFmtId="170" fontId="36" fillId="23" borderId="0" xfId="0" applyNumberFormat="1" applyFont="1" applyFill="1" applyBorder="1"/>
    <xf numFmtId="0" fontId="36" fillId="23" borderId="0" xfId="0" applyFont="1" applyFill="1" applyBorder="1" applyAlignment="1">
      <alignment horizontal="left" indent="2"/>
    </xf>
    <xf numFmtId="164" fontId="36" fillId="23" borderId="0" xfId="0" applyNumberFormat="1" applyFont="1" applyFill="1" applyBorder="1"/>
    <xf numFmtId="0" fontId="36" fillId="23" borderId="0" xfId="0" applyFont="1" applyFill="1" applyBorder="1"/>
    <xf numFmtId="10" fontId="39" fillId="23" borderId="0" xfId="2" applyNumberFormat="1" applyFont="1" applyFill="1" applyBorder="1"/>
    <xf numFmtId="164" fontId="38" fillId="23" borderId="0" xfId="0" applyNumberFormat="1" applyFont="1" applyFill="1" applyBorder="1"/>
    <xf numFmtId="0" fontId="39" fillId="23" borderId="0" xfId="0" applyFont="1" applyFill="1" applyBorder="1" applyAlignment="1">
      <alignment horizontal="center"/>
    </xf>
    <xf numFmtId="0" fontId="36" fillId="23" borderId="0" xfId="0" applyFont="1" applyFill="1" applyBorder="1" applyAlignment="1">
      <alignment horizontal="left"/>
    </xf>
    <xf numFmtId="0" fontId="39" fillId="23" borderId="0" xfId="0" applyFont="1" applyFill="1" applyBorder="1"/>
    <xf numFmtId="164" fontId="36" fillId="0" borderId="0" xfId="0" applyNumberFormat="1" applyFont="1" applyFill="1" applyBorder="1"/>
    <xf numFmtId="164" fontId="38" fillId="0" borderId="0" xfId="0" applyNumberFormat="1" applyFont="1" applyFill="1" applyBorder="1"/>
    <xf numFmtId="10" fontId="39" fillId="0" borderId="0" xfId="2" applyNumberFormat="1" applyFont="1" applyFill="1" applyBorder="1"/>
    <xf numFmtId="0" fontId="40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35" fillId="4" borderId="0" xfId="0" applyFont="1" applyFill="1" applyBorder="1"/>
    <xf numFmtId="166" fontId="35" fillId="4" borderId="0" xfId="0" applyNumberFormat="1" applyFont="1" applyFill="1" applyBorder="1"/>
    <xf numFmtId="4" fontId="35" fillId="0" borderId="0" xfId="2" applyNumberFormat="1" applyFont="1" applyBorder="1"/>
    <xf numFmtId="0" fontId="35" fillId="0" borderId="4" xfId="0" applyFont="1" applyBorder="1"/>
    <xf numFmtId="166" fontId="35" fillId="0" borderId="4" xfId="0" applyNumberFormat="1" applyFont="1" applyBorder="1" applyAlignment="1">
      <alignment vertical="top"/>
    </xf>
    <xf numFmtId="10" fontId="41" fillId="0" borderId="0" xfId="2" applyNumberFormat="1" applyFont="1" applyBorder="1" applyAlignment="1">
      <alignment vertical="top"/>
    </xf>
    <xf numFmtId="0" fontId="41" fillId="0" borderId="0" xfId="0" applyFont="1" applyBorder="1"/>
    <xf numFmtId="171" fontId="40" fillId="0" borderId="0" xfId="0" applyNumberFormat="1" applyFont="1" applyBorder="1" applyAlignment="1">
      <alignment vertical="top"/>
    </xf>
    <xf numFmtId="0" fontId="40" fillId="0" borderId="0" xfId="0" applyFont="1" applyBorder="1" applyAlignment="1">
      <alignment wrapText="1"/>
    </xf>
    <xf numFmtId="10" fontId="35" fillId="0" borderId="0" xfId="2" applyNumberFormat="1" applyFont="1" applyBorder="1"/>
    <xf numFmtId="0" fontId="40" fillId="0" borderId="0" xfId="0" applyFont="1" applyBorder="1"/>
    <xf numFmtId="0" fontId="42" fillId="0" borderId="0" xfId="0" applyFont="1" applyFill="1" applyBorder="1" applyAlignment="1">
      <alignment horizontal="center" vertical="center" textRotation="90"/>
    </xf>
    <xf numFmtId="166" fontId="41" fillId="0" borderId="0" xfId="0" applyNumberFormat="1" applyFont="1" applyBorder="1"/>
    <xf numFmtId="0" fontId="41" fillId="0" borderId="0" xfId="0" applyFont="1" applyBorder="1" applyAlignment="1">
      <alignment horizontal="right"/>
    </xf>
    <xf numFmtId="171" fontId="35" fillId="0" borderId="0" xfId="0" applyNumberFormat="1" applyFont="1" applyBorder="1"/>
    <xf numFmtId="0" fontId="42" fillId="0" borderId="0" xfId="0" applyFont="1" applyFill="1" applyBorder="1" applyAlignment="1">
      <alignment vertical="center" textRotation="90"/>
    </xf>
    <xf numFmtId="0" fontId="35" fillId="0" borderId="0" xfId="0" applyFont="1" applyBorder="1" applyAlignment="1">
      <alignment horizontal="left" indent="2"/>
    </xf>
    <xf numFmtId="0" fontId="35" fillId="0" borderId="0" xfId="0" applyFont="1" applyFill="1" applyBorder="1"/>
    <xf numFmtId="0" fontId="38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 vertical="center" textRotation="90" wrapText="1"/>
    </xf>
    <xf numFmtId="164" fontId="35" fillId="23" borderId="0" xfId="0" applyNumberFormat="1" applyFont="1" applyFill="1" applyBorder="1"/>
    <xf numFmtId="0" fontId="35" fillId="0" borderId="0" xfId="0" applyFont="1" applyFill="1" applyBorder="1" applyAlignment="1">
      <alignment wrapText="1"/>
    </xf>
    <xf numFmtId="0" fontId="38" fillId="0" borderId="0" xfId="0" applyFont="1" applyFill="1" applyBorder="1"/>
    <xf numFmtId="164" fontId="35" fillId="0" borderId="0" xfId="0" applyNumberFormat="1" applyFont="1" applyBorder="1"/>
    <xf numFmtId="164" fontId="40" fillId="0" borderId="0" xfId="0" applyNumberFormat="1" applyFont="1" applyBorder="1"/>
    <xf numFmtId="0" fontId="40" fillId="0" borderId="0" xfId="0" applyFont="1" applyFill="1" applyBorder="1"/>
    <xf numFmtId="0" fontId="35" fillId="0" borderId="0" xfId="0" applyFont="1"/>
    <xf numFmtId="10" fontId="35" fillId="0" borderId="0" xfId="2" applyNumberFormat="1" applyFont="1"/>
    <xf numFmtId="14" fontId="35" fillId="0" borderId="0" xfId="0" applyNumberFormat="1" applyFont="1"/>
    <xf numFmtId="10" fontId="35" fillId="0" borderId="0" xfId="0" applyNumberFormat="1" applyFont="1"/>
    <xf numFmtId="0" fontId="42" fillId="24" borderId="0" xfId="0" applyFont="1" applyFill="1"/>
    <xf numFmtId="10" fontId="35" fillId="4" borderId="0" xfId="2" applyNumberFormat="1" applyFont="1" applyFill="1"/>
    <xf numFmtId="0" fontId="43" fillId="24" borderId="0" xfId="0" applyFont="1" applyFill="1"/>
    <xf numFmtId="0" fontId="35" fillId="4" borderId="0" xfId="0" applyFont="1" applyFill="1"/>
    <xf numFmtId="4" fontId="35" fillId="4" borderId="0" xfId="0" applyNumberFormat="1" applyFont="1" applyFill="1"/>
    <xf numFmtId="2" fontId="35" fillId="0" borderId="0" xfId="0" applyNumberFormat="1" applyFont="1" applyBorder="1"/>
    <xf numFmtId="166" fontId="35" fillId="0" borderId="0" xfId="0" applyNumberFormat="1" applyFont="1"/>
    <xf numFmtId="172" fontId="35" fillId="0" borderId="0" xfId="0" applyNumberFormat="1" applyFont="1"/>
    <xf numFmtId="10" fontId="35" fillId="0" borderId="2" xfId="0" applyNumberFormat="1" applyFont="1" applyBorder="1"/>
    <xf numFmtId="0" fontId="40" fillId="0" borderId="0" xfId="0" applyFont="1"/>
    <xf numFmtId="0" fontId="35" fillId="0" borderId="0" xfId="0" applyFont="1" applyAlignment="1"/>
    <xf numFmtId="10" fontId="41" fillId="0" borderId="0" xfId="0" applyNumberFormat="1" applyFont="1"/>
    <xf numFmtId="0" fontId="41" fillId="0" borderId="0" xfId="0" applyFont="1"/>
    <xf numFmtId="164" fontId="35" fillId="0" borderId="0" xfId="0" applyNumberFormat="1" applyFont="1" applyBorder="1" applyAlignment="1">
      <alignment horizontal="right"/>
    </xf>
    <xf numFmtId="174" fontId="40" fillId="0" borderId="0" xfId="0" applyNumberFormat="1" applyFont="1"/>
    <xf numFmtId="0" fontId="40" fillId="0" borderId="0" xfId="0" applyFont="1" applyAlignment="1"/>
    <xf numFmtId="175" fontId="35" fillId="0" borderId="0" xfId="0" applyNumberFormat="1" applyFont="1"/>
    <xf numFmtId="173" fontId="35" fillId="0" borderId="0" xfId="0" applyNumberFormat="1" applyFont="1" applyBorder="1"/>
    <xf numFmtId="174" fontId="35" fillId="0" borderId="0" xfId="0" applyNumberFormat="1" applyFont="1"/>
    <xf numFmtId="164" fontId="35" fillId="0" borderId="0" xfId="0" applyNumberFormat="1" applyFont="1"/>
    <xf numFmtId="0" fontId="40" fillId="0" borderId="4" xfId="0" applyFont="1" applyBorder="1"/>
    <xf numFmtId="0" fontId="35" fillId="0" borderId="0" xfId="0" applyFont="1" applyAlignment="1">
      <alignment horizontal="left"/>
    </xf>
    <xf numFmtId="10" fontId="35" fillId="0" borderId="0" xfId="0" applyNumberFormat="1" applyFont="1" applyBorder="1"/>
    <xf numFmtId="0" fontId="44" fillId="0" borderId="0" xfId="0" applyFont="1"/>
    <xf numFmtId="0" fontId="44" fillId="0" borderId="0" xfId="0" applyFont="1" applyBorder="1"/>
    <xf numFmtId="175" fontId="44" fillId="0" borderId="0" xfId="0" applyNumberFormat="1" applyFont="1" applyAlignment="1">
      <alignment wrapText="1"/>
    </xf>
    <xf numFmtId="175" fontId="44" fillId="0" borderId="0" xfId="0" applyNumberFormat="1" applyFont="1"/>
    <xf numFmtId="175" fontId="45" fillId="0" borderId="0" xfId="0" applyNumberFormat="1" applyFont="1"/>
    <xf numFmtId="169" fontId="44" fillId="0" borderId="0" xfId="2" applyNumberFormat="1" applyFont="1"/>
    <xf numFmtId="169" fontId="45" fillId="0" borderId="0" xfId="2" applyNumberFormat="1" applyFont="1"/>
    <xf numFmtId="10" fontId="41" fillId="0" borderId="0" xfId="2" applyNumberFormat="1" applyFont="1" applyBorder="1"/>
    <xf numFmtId="0" fontId="35" fillId="0" borderId="0" xfId="0" applyFont="1" applyFill="1"/>
    <xf numFmtId="10" fontId="41" fillId="0" borderId="0" xfId="2" applyNumberFormat="1" applyFont="1"/>
    <xf numFmtId="0" fontId="40" fillId="0" borderId="0" xfId="0" quotePrefix="1" applyFont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0" fontId="46" fillId="26" borderId="34" xfId="0" applyFont="1" applyFill="1" applyBorder="1"/>
    <xf numFmtId="10" fontId="43" fillId="24" borderId="0" xfId="0" applyNumberFormat="1" applyFont="1" applyFill="1"/>
    <xf numFmtId="171" fontId="35" fillId="0" borderId="0" xfId="0" applyNumberFormat="1" applyFont="1" applyFill="1"/>
    <xf numFmtId="0" fontId="40" fillId="0" borderId="0" xfId="0" applyFont="1" applyAlignment="1">
      <alignment horizontal="center"/>
    </xf>
    <xf numFmtId="0" fontId="40" fillId="0" borderId="0" xfId="0" applyFont="1" applyBorder="1" applyAlignment="1">
      <alignment horizontal="left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10" fontId="35" fillId="0" borderId="35" xfId="2" applyNumberFormat="1" applyFont="1" applyBorder="1" applyAlignment="1">
      <alignment horizontal="center"/>
    </xf>
    <xf numFmtId="0" fontId="0" fillId="0" borderId="0" xfId="0" applyFont="1" applyFill="1"/>
    <xf numFmtId="0" fontId="0" fillId="2" borderId="36" xfId="0" applyFill="1" applyBorder="1"/>
    <xf numFmtId="0" fontId="0" fillId="2" borderId="37" xfId="0" applyFill="1" applyBorder="1"/>
    <xf numFmtId="0" fontId="0" fillId="2" borderId="38" xfId="0" applyFill="1" applyBorder="1"/>
    <xf numFmtId="10" fontId="0" fillId="0" borderId="0" xfId="2" applyNumberFormat="1" applyFont="1" applyFill="1"/>
    <xf numFmtId="0" fontId="0" fillId="0" borderId="20" xfId="0" applyFill="1" applyBorder="1"/>
    <xf numFmtId="2" fontId="0" fillId="0" borderId="0" xfId="2" applyNumberFormat="1" applyFont="1" applyAlignment="1"/>
    <xf numFmtId="0" fontId="40" fillId="0" borderId="0" xfId="0" applyFont="1" applyBorder="1" applyAlignment="1">
      <alignment horizontal="center" vertical="center"/>
    </xf>
    <xf numFmtId="171" fontId="0" fillId="0" borderId="0" xfId="0" applyNumberFormat="1"/>
    <xf numFmtId="173" fontId="35" fillId="0" borderId="35" xfId="0" applyNumberFormat="1" applyFont="1" applyBorder="1" applyAlignment="1">
      <alignment horizontal="center"/>
    </xf>
    <xf numFmtId="0" fontId="43" fillId="0" borderId="0" xfId="0" applyFont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9" fontId="0" fillId="0" borderId="0" xfId="0" applyNumberFormat="1"/>
    <xf numFmtId="165" fontId="0" fillId="0" borderId="0" xfId="0" applyNumberFormat="1"/>
    <xf numFmtId="1" fontId="41" fillId="0" borderId="0" xfId="0" applyNumberFormat="1" applyFont="1"/>
    <xf numFmtId="1" fontId="35" fillId="0" borderId="0" xfId="0" applyNumberFormat="1" applyFont="1"/>
    <xf numFmtId="1" fontId="35" fillId="0" borderId="0" xfId="0" applyNumberFormat="1" applyFont="1" applyBorder="1" applyAlignment="1">
      <alignment horizontal="left" indent="2"/>
    </xf>
    <xf numFmtId="164" fontId="35" fillId="0" borderId="0" xfId="0" applyNumberFormat="1" applyFont="1" applyFill="1"/>
    <xf numFmtId="164" fontId="42" fillId="0" borderId="0" xfId="0" applyNumberFormat="1" applyFont="1" applyFill="1" applyBorder="1"/>
    <xf numFmtId="171" fontId="35" fillId="0" borderId="0" xfId="0" applyNumberFormat="1" applyFont="1" applyFill="1" applyBorder="1"/>
    <xf numFmtId="1" fontId="35" fillId="0" borderId="0" xfId="2" applyNumberFormat="1" applyFont="1" applyFill="1" applyBorder="1"/>
    <xf numFmtId="2" fontId="35" fillId="0" borderId="0" xfId="2" applyNumberFormat="1" applyFont="1" applyBorder="1"/>
    <xf numFmtId="0" fontId="36" fillId="0" borderId="0" xfId="0" applyFont="1" applyFill="1"/>
    <xf numFmtId="166" fontId="36" fillId="0" borderId="0" xfId="0" applyNumberFormat="1" applyFont="1"/>
    <xf numFmtId="0" fontId="35" fillId="0" borderId="0" xfId="25" applyFont="1"/>
    <xf numFmtId="0" fontId="49" fillId="0" borderId="0" xfId="25" applyFont="1" applyAlignment="1">
      <alignment horizontal="center"/>
    </xf>
    <xf numFmtId="0" fontId="49" fillId="0" borderId="0" xfId="25" applyFont="1" applyAlignment="1">
      <alignment horizontal="center" wrapText="1"/>
    </xf>
    <xf numFmtId="0" fontId="49" fillId="0" borderId="1" xfId="25" applyFont="1" applyBorder="1" applyAlignment="1">
      <alignment horizontal="center" wrapText="1"/>
    </xf>
    <xf numFmtId="0" fontId="49" fillId="0" borderId="39" xfId="25" applyFont="1" applyBorder="1" applyAlignment="1">
      <alignment horizontal="center" wrapText="1"/>
    </xf>
    <xf numFmtId="0" fontId="35" fillId="0" borderId="1" xfId="25" applyFont="1" applyBorder="1"/>
    <xf numFmtId="0" fontId="35" fillId="0" borderId="0" xfId="25" applyFont="1" applyBorder="1"/>
    <xf numFmtId="0" fontId="35" fillId="0" borderId="40" xfId="25" applyFont="1" applyBorder="1"/>
    <xf numFmtId="4" fontId="35" fillId="0" borderId="0" xfId="25" applyNumberFormat="1" applyFont="1"/>
    <xf numFmtId="10" fontId="35" fillId="0" borderId="0" xfId="29" applyNumberFormat="1" applyFont="1"/>
    <xf numFmtId="39" fontId="35" fillId="0" borderId="0" xfId="25" applyNumberFormat="1" applyFont="1" applyFill="1"/>
    <xf numFmtId="172" fontId="35" fillId="0" borderId="1" xfId="25" applyNumberFormat="1" applyFont="1" applyBorder="1"/>
    <xf numFmtId="172" fontId="35" fillId="0" borderId="0" xfId="25" applyNumberFormat="1" applyFont="1" applyBorder="1"/>
    <xf numFmtId="172" fontId="35" fillId="0" borderId="40" xfId="25" applyNumberFormat="1" applyFont="1" applyBorder="1"/>
    <xf numFmtId="172" fontId="35" fillId="0" borderId="41" xfId="25" applyNumberFormat="1" applyFont="1" applyBorder="1"/>
    <xf numFmtId="0" fontId="40" fillId="4" borderId="0" xfId="25" applyFont="1" applyFill="1" applyBorder="1"/>
    <xf numFmtId="0" fontId="35" fillId="4" borderId="0" xfId="25" applyFont="1" applyFill="1" applyBorder="1"/>
    <xf numFmtId="10" fontId="35" fillId="4" borderId="0" xfId="25" applyNumberFormat="1" applyFont="1" applyFill="1" applyBorder="1"/>
    <xf numFmtId="166" fontId="40" fillId="4" borderId="0" xfId="21" applyFont="1" applyFill="1" applyBorder="1"/>
    <xf numFmtId="172" fontId="40" fillId="4" borderId="0" xfId="25" applyNumberFormat="1" applyFont="1" applyFill="1" applyBorder="1"/>
    <xf numFmtId="10" fontId="35" fillId="0" borderId="0" xfId="25" applyNumberFormat="1" applyFont="1"/>
    <xf numFmtId="0" fontId="35" fillId="0" borderId="0" xfId="25" applyFont="1" applyFill="1"/>
    <xf numFmtId="0" fontId="35" fillId="0" borderId="42" xfId="25" applyFont="1" applyBorder="1"/>
    <xf numFmtId="0" fontId="35" fillId="4" borderId="0" xfId="25" applyFont="1" applyFill="1"/>
    <xf numFmtId="4" fontId="35" fillId="4" borderId="0" xfId="25" applyNumberFormat="1" applyFont="1" applyFill="1"/>
    <xf numFmtId="172" fontId="35" fillId="0" borderId="0" xfId="25" applyNumberFormat="1" applyFont="1"/>
    <xf numFmtId="10" fontId="35" fillId="0" borderId="0" xfId="2" applyNumberFormat="1" applyFont="1" applyFill="1"/>
    <xf numFmtId="0" fontId="36" fillId="4" borderId="0" xfId="0" applyFont="1" applyFill="1"/>
    <xf numFmtId="0" fontId="2" fillId="27" borderId="0" xfId="0" applyFont="1" applyFill="1" applyAlignment="1"/>
    <xf numFmtId="0" fontId="0" fillId="27" borderId="0" xfId="0" applyFill="1"/>
    <xf numFmtId="0" fontId="0" fillId="27" borderId="6" xfId="0" applyFill="1" applyBorder="1"/>
    <xf numFmtId="0" fontId="4" fillId="27" borderId="7" xfId="0" applyFont="1" applyFill="1" applyBorder="1" applyAlignment="1">
      <alignment horizontal="center"/>
    </xf>
    <xf numFmtId="0" fontId="2" fillId="27" borderId="0" xfId="0" applyFont="1" applyFill="1"/>
    <xf numFmtId="0" fontId="2" fillId="27" borderId="0" xfId="0" applyFont="1" applyFill="1" applyAlignment="1">
      <alignment horizontal="left"/>
    </xf>
    <xf numFmtId="0" fontId="2" fillId="27" borderId="8" xfId="0" applyFont="1" applyFill="1" applyBorder="1"/>
    <xf numFmtId="0" fontId="2" fillId="27" borderId="9" xfId="0" applyFont="1" applyFill="1" applyBorder="1"/>
    <xf numFmtId="0" fontId="2" fillId="27" borderId="20" xfId="0" applyFont="1" applyFill="1" applyBorder="1"/>
    <xf numFmtId="0" fontId="0" fillId="27" borderId="20" xfId="0" applyFill="1" applyBorder="1"/>
    <xf numFmtId="0" fontId="0" fillId="27" borderId="8" xfId="0" applyFill="1" applyBorder="1"/>
    <xf numFmtId="0" fontId="2" fillId="27" borderId="6" xfId="0" applyFont="1" applyFill="1" applyBorder="1" applyAlignment="1">
      <alignment horizontal="center"/>
    </xf>
    <xf numFmtId="0" fontId="2" fillId="27" borderId="7" xfId="0" applyFont="1" applyFill="1" applyBorder="1" applyAlignment="1">
      <alignment horizontal="center"/>
    </xf>
    <xf numFmtId="0" fontId="4" fillId="27" borderId="8" xfId="0" applyFont="1" applyFill="1" applyBorder="1" applyAlignment="1">
      <alignment horizontal="center"/>
    </xf>
    <xf numFmtId="0" fontId="4" fillId="27" borderId="9" xfId="0" applyFont="1" applyFill="1" applyBorder="1" applyAlignment="1">
      <alignment horizontal="center"/>
    </xf>
    <xf numFmtId="0" fontId="42" fillId="27" borderId="0" xfId="0" applyFont="1" applyFill="1" applyBorder="1" applyAlignment="1">
      <alignment horizontal="center"/>
    </xf>
    <xf numFmtId="0" fontId="42" fillId="27" borderId="0" xfId="0" applyFont="1" applyFill="1" applyBorder="1"/>
    <xf numFmtId="164" fontId="42" fillId="27" borderId="0" xfId="0" applyNumberFormat="1" applyFont="1" applyFill="1" applyBorder="1"/>
    <xf numFmtId="0" fontId="42" fillId="27" borderId="0" xfId="0" applyFont="1" applyFill="1"/>
    <xf numFmtId="1" fontId="42" fillId="27" borderId="0" xfId="0" applyNumberFormat="1" applyFont="1" applyFill="1"/>
    <xf numFmtId="0" fontId="35" fillId="27" borderId="0" xfId="0" applyFont="1" applyFill="1" applyBorder="1"/>
    <xf numFmtId="164" fontId="38" fillId="27" borderId="0" xfId="0" applyNumberFormat="1" applyFont="1" applyFill="1" applyBorder="1"/>
    <xf numFmtId="0" fontId="42" fillId="27" borderId="0" xfId="0" applyFont="1" applyFill="1" applyBorder="1" applyAlignment="1">
      <alignment horizontal="left"/>
    </xf>
    <xf numFmtId="0" fontId="35" fillId="23" borderId="0" xfId="0" applyFont="1" applyFill="1" applyBorder="1"/>
    <xf numFmtId="0" fontId="40" fillId="27" borderId="0" xfId="0" applyFont="1" applyFill="1" applyBorder="1"/>
    <xf numFmtId="0" fontId="43" fillId="27" borderId="0" xfId="0" applyFont="1" applyFill="1" applyBorder="1"/>
    <xf numFmtId="166" fontId="35" fillId="27" borderId="0" xfId="0" applyNumberFormat="1" applyFont="1" applyFill="1" applyBorder="1"/>
    <xf numFmtId="171" fontId="40" fillId="27" borderId="0" xfId="0" applyNumberFormat="1" applyFont="1" applyFill="1" applyBorder="1"/>
    <xf numFmtId="171" fontId="35" fillId="27" borderId="0" xfId="0" applyNumberFormat="1" applyFont="1" applyFill="1" applyBorder="1"/>
    <xf numFmtId="0" fontId="42" fillId="27" borderId="4" xfId="0" applyFont="1" applyFill="1" applyBorder="1" applyAlignment="1"/>
    <xf numFmtId="0" fontId="42" fillId="27" borderId="0" xfId="0" applyFont="1" applyFill="1" applyBorder="1" applyAlignment="1"/>
    <xf numFmtId="10" fontId="42" fillId="27" borderId="0" xfId="0" applyNumberFormat="1" applyFont="1" applyFill="1" applyBorder="1"/>
    <xf numFmtId="173" fontId="42" fillId="27" borderId="0" xfId="0" applyNumberFormat="1" applyFont="1" applyFill="1" applyBorder="1"/>
    <xf numFmtId="174" fontId="42" fillId="27" borderId="0" xfId="0" applyNumberFormat="1" applyFont="1" applyFill="1"/>
    <xf numFmtId="0" fontId="42" fillId="27" borderId="0" xfId="0" applyFont="1" applyFill="1" applyAlignment="1"/>
    <xf numFmtId="10" fontId="3" fillId="28" borderId="43" xfId="2" applyNumberFormat="1" applyFont="1" applyFill="1" applyBorder="1" applyAlignment="1"/>
    <xf numFmtId="0" fontId="4" fillId="27" borderId="6" xfId="0" applyFont="1" applyFill="1" applyBorder="1" applyAlignment="1"/>
    <xf numFmtId="0" fontId="4" fillId="27" borderId="6" xfId="0" applyFont="1" applyFill="1" applyBorder="1"/>
    <xf numFmtId="0" fontId="4" fillId="27" borderId="10" xfId="0" applyFont="1" applyFill="1" applyBorder="1"/>
    <xf numFmtId="0" fontId="4" fillId="27" borderId="8" xfId="0" applyFont="1" applyFill="1" applyBorder="1"/>
    <xf numFmtId="9" fontId="4" fillId="27" borderId="6" xfId="2" applyFont="1" applyFill="1" applyBorder="1" applyAlignment="1"/>
    <xf numFmtId="0" fontId="3" fillId="28" borderId="0" xfId="0" applyFont="1" applyFill="1"/>
    <xf numFmtId="166" fontId="3" fillId="28" borderId="0" xfId="0" applyNumberFormat="1" applyFont="1" applyFill="1"/>
    <xf numFmtId="168" fontId="3" fillId="28" borderId="0" xfId="2" applyNumberFormat="1" applyFont="1" applyFill="1"/>
    <xf numFmtId="0" fontId="0" fillId="28" borderId="8" xfId="0" applyFont="1" applyFill="1" applyBorder="1"/>
    <xf numFmtId="164" fontId="40" fillId="28" borderId="0" xfId="0" applyNumberFormat="1" applyFont="1" applyFill="1" applyBorder="1"/>
    <xf numFmtId="0" fontId="40" fillId="28" borderId="0" xfId="0" applyFont="1" applyFill="1"/>
    <xf numFmtId="0" fontId="40" fillId="28" borderId="0" xfId="0" applyFont="1" applyFill="1" applyBorder="1" applyAlignment="1">
      <alignment vertical="center" textRotation="90"/>
    </xf>
    <xf numFmtId="0" fontId="40" fillId="28" borderId="0" xfId="0" applyFont="1" applyFill="1" applyBorder="1"/>
    <xf numFmtId="171" fontId="40" fillId="28" borderId="0" xfId="0" applyNumberFormat="1" applyFont="1" applyFill="1" applyBorder="1"/>
    <xf numFmtId="0" fontId="35" fillId="28" borderId="0" xfId="0" applyFont="1" applyFill="1" applyBorder="1"/>
    <xf numFmtId="0" fontId="3" fillId="29" borderId="0" xfId="0" applyFont="1" applyFill="1"/>
    <xf numFmtId="10" fontId="3" fillId="29" borderId="0" xfId="2" applyNumberFormat="1" applyFont="1" applyFill="1"/>
    <xf numFmtId="10" fontId="3" fillId="29" borderId="0" xfId="0" applyNumberFormat="1" applyFont="1" applyFill="1"/>
    <xf numFmtId="0" fontId="35" fillId="29" borderId="0" xfId="0" applyFont="1" applyFill="1"/>
    <xf numFmtId="0" fontId="40" fillId="29" borderId="0" xfId="0" applyFont="1" applyFill="1"/>
    <xf numFmtId="0" fontId="38" fillId="28" borderId="0" xfId="0" applyFont="1" applyFill="1" applyBorder="1"/>
    <xf numFmtId="164" fontId="38" fillId="28" borderId="0" xfId="0" applyNumberFormat="1" applyFont="1" applyFill="1" applyBorder="1"/>
    <xf numFmtId="0" fontId="38" fillId="28" borderId="0" xfId="0" applyFont="1" applyFill="1" applyBorder="1" applyAlignment="1">
      <alignment horizontal="left"/>
    </xf>
    <xf numFmtId="0" fontId="40" fillId="29" borderId="0" xfId="0" applyFont="1" applyFill="1" applyBorder="1"/>
    <xf numFmtId="171" fontId="40" fillId="29" borderId="0" xfId="0" applyNumberFormat="1" applyFont="1" applyFill="1" applyBorder="1"/>
    <xf numFmtId="0" fontId="35" fillId="29" borderId="0" xfId="0" applyFont="1" applyFill="1" applyBorder="1"/>
    <xf numFmtId="166" fontId="35" fillId="29" borderId="0" xfId="0" applyNumberFormat="1" applyFont="1" applyFill="1" applyBorder="1"/>
    <xf numFmtId="164" fontId="40" fillId="29" borderId="0" xfId="0" applyNumberFormat="1" applyFont="1" applyFill="1" applyBorder="1"/>
    <xf numFmtId="164" fontId="40" fillId="29" borderId="0" xfId="0" applyNumberFormat="1" applyFont="1" applyFill="1"/>
    <xf numFmtId="10" fontId="35" fillId="29" borderId="0" xfId="0" applyNumberFormat="1" applyFont="1" applyFill="1"/>
    <xf numFmtId="10" fontId="35" fillId="29" borderId="0" xfId="0" applyNumberFormat="1" applyFont="1" applyFill="1" applyBorder="1"/>
    <xf numFmtId="169" fontId="35" fillId="29" borderId="0" xfId="2" applyNumberFormat="1" applyFont="1" applyFill="1"/>
    <xf numFmtId="169" fontId="35" fillId="29" borderId="0" xfId="2" applyNumberFormat="1" applyFont="1" applyFill="1" applyBorder="1"/>
    <xf numFmtId="0" fontId="42" fillId="25" borderId="0" xfId="0" applyFont="1" applyFill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9" fontId="0" fillId="0" borderId="0" xfId="2" applyFon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" fontId="35" fillId="0" borderId="0" xfId="0" applyNumberFormat="1" applyFont="1" applyFill="1" applyBorder="1" applyAlignment="1">
      <alignment horizontal="left" indent="2"/>
    </xf>
    <xf numFmtId="10" fontId="41" fillId="0" borderId="0" xfId="2" applyNumberFormat="1" applyFont="1" applyFill="1" applyBorder="1"/>
    <xf numFmtId="166" fontId="36" fillId="0" borderId="0" xfId="0" applyNumberFormat="1" applyFont="1" applyFill="1"/>
    <xf numFmtId="164" fontId="40" fillId="0" borderId="0" xfId="0" applyNumberFormat="1" applyFont="1" applyFill="1"/>
    <xf numFmtId="0" fontId="36" fillId="0" borderId="0" xfId="0" applyFont="1"/>
    <xf numFmtId="10" fontId="36" fillId="0" borderId="0" xfId="2" applyNumberFormat="1" applyFont="1" applyFill="1"/>
    <xf numFmtId="166" fontId="40" fillId="0" borderId="2" xfId="1" applyFont="1" applyBorder="1" applyAlignment="1">
      <alignment horizontal="right"/>
    </xf>
    <xf numFmtId="10" fontId="0" fillId="0" borderId="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4" fillId="27" borderId="0" xfId="0" applyFont="1" applyFill="1" applyBorder="1"/>
    <xf numFmtId="2" fontId="0" fillId="0" borderId="0" xfId="2" applyNumberFormat="1" applyFont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4" fillId="27" borderId="0" xfId="0" applyFont="1" applyFill="1" applyBorder="1" applyAlignment="1">
      <alignment horizontal="center" vertical="center"/>
    </xf>
    <xf numFmtId="0" fontId="4" fillId="27" borderId="33" xfId="0" applyFon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75" fontId="0" fillId="0" borderId="0" xfId="0" applyNumberFormat="1" applyAlignment="1">
      <alignment horizontal="center"/>
    </xf>
    <xf numFmtId="2" fontId="3" fillId="3" borderId="0" xfId="0" applyNumberFormat="1" applyFont="1" applyFill="1" applyAlignment="1">
      <alignment horizontal="center"/>
    </xf>
    <xf numFmtId="172" fontId="35" fillId="0" borderId="0" xfId="25" applyNumberFormat="1" applyFont="1" applyFill="1"/>
    <xf numFmtId="0" fontId="35" fillId="4" borderId="0" xfId="26" applyFont="1" applyFill="1"/>
    <xf numFmtId="0" fontId="35" fillId="0" borderId="0" xfId="26" applyFont="1"/>
    <xf numFmtId="0" fontId="40" fillId="0" borderId="0" xfId="26" applyFont="1" applyFill="1"/>
    <xf numFmtId="0" fontId="40" fillId="0" borderId="0" xfId="26" applyFont="1" applyFill="1" applyAlignment="1">
      <alignment horizontal="center"/>
    </xf>
    <xf numFmtId="0" fontId="35" fillId="0" borderId="0" xfId="26" applyFont="1" applyFill="1"/>
    <xf numFmtId="0" fontId="35" fillId="0" borderId="0" xfId="26" applyFont="1" applyFill="1" applyAlignment="1">
      <alignment horizontal="center"/>
    </xf>
    <xf numFmtId="164" fontId="40" fillId="0" borderId="0" xfId="26" applyNumberFormat="1" applyFont="1" applyFill="1"/>
    <xf numFmtId="164" fontId="35" fillId="0" borderId="0" xfId="26" applyNumberFormat="1" applyFont="1" applyFill="1"/>
    <xf numFmtId="171" fontId="35" fillId="0" borderId="0" xfId="26" applyNumberFormat="1" applyFont="1" applyFill="1" applyAlignment="1">
      <alignment horizontal="center"/>
    </xf>
    <xf numFmtId="0" fontId="41" fillId="0" borderId="0" xfId="26" applyFont="1" applyFill="1"/>
    <xf numFmtId="10" fontId="41" fillId="0" borderId="0" xfId="2" applyNumberFormat="1" applyFont="1" applyFill="1" applyAlignment="1">
      <alignment horizontal="center"/>
    </xf>
    <xf numFmtId="14" fontId="35" fillId="0" borderId="0" xfId="26" applyNumberFormat="1" applyFont="1" applyFill="1" applyAlignment="1">
      <alignment horizontal="center"/>
    </xf>
    <xf numFmtId="10" fontId="35" fillId="0" borderId="0" xfId="30" applyNumberFormat="1" applyFont="1" applyFill="1" applyAlignment="1">
      <alignment horizontal="center"/>
    </xf>
    <xf numFmtId="14" fontId="35" fillId="0" borderId="0" xfId="26" applyNumberFormat="1" applyFont="1" applyFill="1"/>
    <xf numFmtId="170" fontId="35" fillId="0" borderId="0" xfId="26" applyNumberFormat="1" applyFont="1" applyFill="1"/>
    <xf numFmtId="170" fontId="35" fillId="0" borderId="0" xfId="26" applyNumberFormat="1" applyFont="1" applyFill="1" applyAlignment="1">
      <alignment horizontal="center"/>
    </xf>
    <xf numFmtId="10" fontId="41" fillId="0" borderId="0" xfId="30" applyNumberFormat="1" applyFont="1" applyFill="1"/>
    <xf numFmtId="10" fontId="41" fillId="0" borderId="0" xfId="30" applyNumberFormat="1" applyFont="1" applyFill="1" applyAlignment="1">
      <alignment horizontal="center"/>
    </xf>
    <xf numFmtId="164" fontId="35" fillId="0" borderId="0" xfId="26" applyNumberFormat="1" applyFont="1" applyFill="1" applyAlignment="1">
      <alignment horizontal="center"/>
    </xf>
    <xf numFmtId="170" fontId="40" fillId="0" borderId="0" xfId="26" applyNumberFormat="1" applyFont="1" applyFill="1"/>
    <xf numFmtId="164" fontId="40" fillId="0" borderId="0" xfId="26" applyNumberFormat="1" applyFont="1" applyFill="1" applyAlignment="1">
      <alignment horizontal="center"/>
    </xf>
    <xf numFmtId="4" fontId="35" fillId="0" borderId="0" xfId="26" applyNumberFormat="1" applyFont="1" applyFill="1"/>
    <xf numFmtId="10" fontId="41" fillId="0" borderId="0" xfId="2" applyNumberFormat="1" applyFont="1" applyFill="1"/>
    <xf numFmtId="172" fontId="40" fillId="0" borderId="0" xfId="25" applyNumberFormat="1" applyFont="1" applyFill="1" applyAlignment="1">
      <alignment horizontal="center"/>
    </xf>
    <xf numFmtId="164" fontId="35" fillId="0" borderId="0" xfId="25" applyNumberFormat="1" applyFont="1" applyFill="1" applyAlignment="1">
      <alignment horizontal="left"/>
    </xf>
    <xf numFmtId="164" fontId="35" fillId="0" borderId="0" xfId="25" applyNumberFormat="1" applyFont="1" applyFill="1" applyAlignment="1">
      <alignment horizontal="center"/>
    </xf>
    <xf numFmtId="0" fontId="38" fillId="0" borderId="0" xfId="26" applyFont="1" applyFill="1"/>
    <xf numFmtId="164" fontId="38" fillId="0" borderId="0" xfId="26" applyNumberFormat="1" applyFont="1" applyFill="1"/>
    <xf numFmtId="0" fontId="42" fillId="0" borderId="0" xfId="26" applyFont="1" applyFill="1"/>
    <xf numFmtId="0" fontId="43" fillId="0" borderId="0" xfId="26" applyFont="1" applyFill="1"/>
    <xf numFmtId="10" fontId="35" fillId="0" borderId="0" xfId="26" applyNumberFormat="1" applyFont="1" applyFill="1"/>
    <xf numFmtId="10" fontId="35" fillId="0" borderId="0" xfId="30" applyNumberFormat="1" applyFont="1" applyFill="1"/>
    <xf numFmtId="171" fontId="35" fillId="0" borderId="0" xfId="26" applyNumberFormat="1" applyFont="1" applyFill="1"/>
    <xf numFmtId="171" fontId="40" fillId="0" borderId="0" xfId="26" applyNumberFormat="1" applyFont="1" applyFill="1"/>
    <xf numFmtId="4" fontId="35" fillId="0" borderId="0" xfId="26" applyNumberFormat="1" applyFont="1" applyAlignment="1">
      <alignment horizontal="right"/>
    </xf>
    <xf numFmtId="166" fontId="35" fillId="0" borderId="0" xfId="1" applyFont="1" applyFill="1"/>
    <xf numFmtId="4" fontId="35" fillId="0" borderId="0" xfId="26" applyNumberFormat="1" applyFont="1" applyFill="1" applyAlignment="1">
      <alignment horizontal="right"/>
    </xf>
    <xf numFmtId="164" fontId="35" fillId="0" borderId="0" xfId="26" applyNumberFormat="1" applyFont="1" applyFill="1" applyAlignment="1">
      <alignment horizontal="right"/>
    </xf>
    <xf numFmtId="164" fontId="40" fillId="0" borderId="0" xfId="26" applyNumberFormat="1" applyFont="1" applyFill="1" applyAlignment="1">
      <alignment horizontal="right"/>
    </xf>
    <xf numFmtId="3" fontId="35" fillId="0" borderId="0" xfId="26" applyNumberFormat="1" applyFont="1" applyFill="1" applyAlignment="1">
      <alignment horizontal="center"/>
    </xf>
    <xf numFmtId="164" fontId="38" fillId="0" borderId="0" xfId="26" applyNumberFormat="1" applyFont="1" applyFill="1" applyAlignment="1">
      <alignment horizontal="center"/>
    </xf>
    <xf numFmtId="164" fontId="38" fillId="0" borderId="0" xfId="26" applyNumberFormat="1" applyFont="1" applyFill="1" applyAlignment="1">
      <alignment horizontal="right"/>
    </xf>
    <xf numFmtId="0" fontId="42" fillId="27" borderId="0" xfId="26" applyFont="1" applyFill="1"/>
    <xf numFmtId="0" fontId="43" fillId="27" borderId="0" xfId="26" applyFont="1" applyFill="1"/>
    <xf numFmtId="0" fontId="42" fillId="27" borderId="0" xfId="25" applyFont="1" applyFill="1" applyBorder="1"/>
    <xf numFmtId="0" fontId="43" fillId="27" borderId="0" xfId="25" applyFont="1" applyFill="1" applyBorder="1"/>
    <xf numFmtId="0" fontId="43" fillId="27" borderId="1" xfId="25" applyFont="1" applyFill="1" applyBorder="1"/>
    <xf numFmtId="0" fontId="43" fillId="27" borderId="40" xfId="25" applyFont="1" applyFill="1" applyBorder="1"/>
    <xf numFmtId="172" fontId="42" fillId="27" borderId="1" xfId="25" applyNumberFormat="1" applyFont="1" applyFill="1" applyBorder="1"/>
    <xf numFmtId="0" fontId="42" fillId="27" borderId="0" xfId="25" applyFon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72" fontId="40" fillId="0" borderId="0" xfId="25" applyNumberFormat="1" applyFont="1" applyFill="1"/>
    <xf numFmtId="164" fontId="35" fillId="0" borderId="0" xfId="25" applyNumberFormat="1" applyFont="1" applyFill="1"/>
    <xf numFmtId="0" fontId="35" fillId="0" borderId="0" xfId="27" applyFont="1"/>
    <xf numFmtId="0" fontId="40" fillId="0" borderId="0" xfId="27" applyFont="1"/>
    <xf numFmtId="164" fontId="35" fillId="0" borderId="0" xfId="27" applyNumberFormat="1" applyFont="1"/>
    <xf numFmtId="175" fontId="40" fillId="0" borderId="0" xfId="27" applyNumberFormat="1" applyFont="1"/>
    <xf numFmtId="0" fontId="35" fillId="0" borderId="0" xfId="25" applyFont="1" applyFill="1" applyBorder="1"/>
    <xf numFmtId="176" fontId="35" fillId="0" borderId="0" xfId="25" applyNumberFormat="1" applyFont="1" applyFill="1"/>
    <xf numFmtId="0" fontId="51" fillId="0" borderId="0" xfId="0" applyFont="1" applyFill="1" applyAlignment="1"/>
    <xf numFmtId="0" fontId="50" fillId="0" borderId="0" xfId="0" applyFont="1" applyFill="1"/>
    <xf numFmtId="0" fontId="50" fillId="0" borderId="0" xfId="0" applyFont="1"/>
    <xf numFmtId="2" fontId="50" fillId="0" borderId="0" xfId="2" applyNumberFormat="1" applyFont="1"/>
    <xf numFmtId="0" fontId="3" fillId="28" borderId="8" xfId="0" applyFont="1" applyFill="1" applyBorder="1"/>
    <xf numFmtId="0" fontId="3" fillId="28" borderId="20" xfId="0" applyFont="1" applyFill="1" applyBorder="1"/>
    <xf numFmtId="10" fontId="41" fillId="0" borderId="0" xfId="29" applyNumberFormat="1" applyFont="1" applyFill="1" applyAlignment="1">
      <alignment horizontal="center"/>
    </xf>
    <xf numFmtId="10" fontId="41" fillId="0" borderId="0" xfId="29" applyNumberFormat="1" applyFont="1" applyFill="1"/>
    <xf numFmtId="10" fontId="35" fillId="0" borderId="0" xfId="29" applyNumberFormat="1" applyFont="1" applyFill="1"/>
    <xf numFmtId="166" fontId="35" fillId="0" borderId="0" xfId="21" applyFont="1" applyFill="1"/>
    <xf numFmtId="0" fontId="35" fillId="0" borderId="0" xfId="25" applyFont="1" applyFill="1" applyBorder="1" applyAlignment="1">
      <alignment horizontal="left"/>
    </xf>
    <xf numFmtId="164" fontId="40" fillId="0" borderId="0" xfId="26" applyNumberFormat="1" applyFont="1"/>
    <xf numFmtId="0" fontId="42" fillId="27" borderId="0" xfId="0" applyFont="1" applyFill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174" fontId="42" fillId="27" borderId="19" xfId="0" applyNumberFormat="1" applyFont="1" applyFill="1" applyBorder="1"/>
    <xf numFmtId="177" fontId="42" fillId="27" borderId="0" xfId="0" applyNumberFormat="1" applyFont="1" applyFill="1"/>
    <xf numFmtId="0" fontId="42" fillId="0" borderId="0" xfId="0" applyFont="1" applyFill="1" applyAlignment="1">
      <alignment vertical="center"/>
    </xf>
    <xf numFmtId="10" fontId="50" fillId="0" borderId="0" xfId="0" applyNumberFormat="1" applyFont="1" applyFill="1"/>
    <xf numFmtId="0" fontId="51" fillId="28" borderId="0" xfId="0" applyFont="1" applyFill="1"/>
    <xf numFmtId="10" fontId="51" fillId="28" borderId="0" xfId="0" applyNumberFormat="1" applyFont="1" applyFill="1"/>
    <xf numFmtId="0" fontId="35" fillId="0" borderId="0" xfId="0" applyFont="1" applyAlignment="1">
      <alignment horizontal="right"/>
    </xf>
    <xf numFmtId="164" fontId="35" fillId="0" borderId="0" xfId="0" applyNumberFormat="1" applyFont="1" applyFill="1" applyBorder="1"/>
    <xf numFmtId="0" fontId="4" fillId="27" borderId="0" xfId="0" applyFont="1" applyFill="1" applyBorder="1" applyAlignment="1">
      <alignment horizontal="center"/>
    </xf>
    <xf numFmtId="2" fontId="0" fillId="0" borderId="0" xfId="2" applyNumberFormat="1" applyFont="1" applyAlignment="1">
      <alignment horizontal="center"/>
    </xf>
    <xf numFmtId="0" fontId="4" fillId="27" borderId="32" xfId="0" applyFont="1" applyFill="1" applyBorder="1" applyAlignment="1">
      <alignment horizontal="center"/>
    </xf>
    <xf numFmtId="164" fontId="0" fillId="0" borderId="0" xfId="0" applyNumberFormat="1"/>
    <xf numFmtId="0" fontId="3" fillId="0" borderId="0" xfId="0" applyFont="1" applyFill="1"/>
    <xf numFmtId="2" fontId="0" fillId="0" borderId="0" xfId="0" applyNumberFormat="1" applyFill="1"/>
    <xf numFmtId="0" fontId="4" fillId="0" borderId="0" xfId="0" applyFont="1" applyFill="1" applyBorder="1" applyAlignment="1">
      <alignment vertical="center"/>
    </xf>
    <xf numFmtId="0" fontId="54" fillId="27" borderId="0" xfId="0" applyFont="1" applyFill="1"/>
    <xf numFmtId="0" fontId="54" fillId="27" borderId="19" xfId="0" applyFont="1" applyFill="1" applyBorder="1" applyAlignment="1">
      <alignment horizontal="center" vertical="center"/>
    </xf>
    <xf numFmtId="0" fontId="54" fillId="27" borderId="0" xfId="0" applyFont="1" applyFill="1" applyBorder="1" applyAlignment="1">
      <alignment horizontal="center" vertical="center"/>
    </xf>
    <xf numFmtId="2" fontId="50" fillId="0" borderId="0" xfId="0" applyNumberFormat="1" applyFont="1" applyFill="1" applyBorder="1" applyAlignment="1">
      <alignment vertical="center"/>
    </xf>
    <xf numFmtId="0" fontId="0" fillId="0" borderId="0" xfId="0" applyAlignment="1"/>
    <xf numFmtId="2" fontId="0" fillId="0" borderId="0" xfId="2" applyNumberFormat="1" applyFont="1" applyBorder="1" applyAlignment="1"/>
    <xf numFmtId="10" fontId="0" fillId="0" borderId="0" xfId="2" applyNumberFormat="1" applyFont="1" applyFill="1" applyBorder="1" applyAlignment="1"/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/>
    <xf numFmtId="0" fontId="55" fillId="27" borderId="0" xfId="26" applyFont="1" applyFill="1"/>
    <xf numFmtId="0" fontId="4" fillId="27" borderId="32" xfId="0" applyFont="1" applyFill="1" applyBorder="1" applyAlignment="1"/>
    <xf numFmtId="10" fontId="0" fillId="0" borderId="0" xfId="0" applyNumberFormat="1" applyBorder="1" applyAlignment="1"/>
    <xf numFmtId="10" fontId="0" fillId="0" borderId="0" xfId="0" applyNumberFormat="1" applyAlignment="1"/>
    <xf numFmtId="0" fontId="2" fillId="27" borderId="0" xfId="0" applyFont="1" applyFill="1" applyAlignment="1">
      <alignment horizontal="center"/>
    </xf>
    <xf numFmtId="0" fontId="4" fillId="27" borderId="45" xfId="0" applyFont="1" applyFill="1" applyBorder="1" applyAlignment="1">
      <alignment horizontal="center" vertical="center"/>
    </xf>
    <xf numFmtId="0" fontId="4" fillId="27" borderId="6" xfId="0" applyFont="1" applyFill="1" applyBorder="1" applyAlignment="1">
      <alignment horizontal="center" vertical="center"/>
    </xf>
    <xf numFmtId="0" fontId="4" fillId="27" borderId="45" xfId="0" applyFont="1" applyFill="1" applyBorder="1" applyAlignment="1">
      <alignment horizontal="left" vertical="center"/>
    </xf>
    <xf numFmtId="0" fontId="4" fillId="27" borderId="46" xfId="0" applyFont="1" applyFill="1" applyBorder="1" applyAlignment="1">
      <alignment horizontal="left" vertical="center"/>
    </xf>
    <xf numFmtId="0" fontId="2" fillId="27" borderId="46" xfId="0" applyFont="1" applyFill="1" applyBorder="1"/>
    <xf numFmtId="0" fontId="2" fillId="27" borderId="44" xfId="0" applyFont="1" applyFill="1" applyBorder="1"/>
    <xf numFmtId="0" fontId="2" fillId="27" borderId="7" xfId="0" applyFont="1" applyFill="1" applyBorder="1"/>
    <xf numFmtId="0" fontId="4" fillId="27" borderId="47" xfId="0" applyFont="1" applyFill="1" applyBorder="1" applyAlignment="1">
      <alignment horizontal="left" vertical="center"/>
    </xf>
    <xf numFmtId="0" fontId="4" fillId="27" borderId="20" xfId="0" applyFont="1" applyFill="1" applyBorder="1"/>
    <xf numFmtId="9" fontId="35" fillId="0" borderId="0" xfId="2" applyFont="1" applyFill="1"/>
    <xf numFmtId="10" fontId="0" fillId="0" borderId="20" xfId="0" applyNumberFormat="1" applyBorder="1" applyAlignment="1"/>
    <xf numFmtId="10" fontId="0" fillId="0" borderId="19" xfId="0" applyNumberFormat="1" applyBorder="1" applyAlignment="1"/>
    <xf numFmtId="0" fontId="4" fillId="27" borderId="0" xfId="0" applyFont="1" applyFill="1" applyAlignment="1">
      <alignment horizontal="center"/>
    </xf>
    <xf numFmtId="10" fontId="3" fillId="0" borderId="0" xfId="2" applyNumberFormat="1" applyFont="1" applyFill="1" applyBorder="1" applyAlignment="1"/>
    <xf numFmtId="0" fontId="2" fillId="27" borderId="19" xfId="0" applyFont="1" applyFill="1" applyBorder="1" applyAlignment="1"/>
    <xf numFmtId="2" fontId="3" fillId="0" borderId="0" xfId="0" applyNumberFormat="1" applyFont="1" applyAlignment="1"/>
    <xf numFmtId="2" fontId="0" fillId="0" borderId="0" xfId="0" applyNumberFormat="1" applyAlignment="1"/>
    <xf numFmtId="2" fontId="0" fillId="0" borderId="0" xfId="0" applyNumberFormat="1" applyAlignment="1">
      <alignment horizontal="center"/>
    </xf>
    <xf numFmtId="0" fontId="2" fillId="27" borderId="19" xfId="0" applyFont="1" applyFill="1" applyBorder="1" applyAlignment="1">
      <alignment horizontal="center"/>
    </xf>
    <xf numFmtId="2" fontId="0" fillId="0" borderId="0" xfId="2" applyNumberFormat="1" applyFont="1" applyBorder="1" applyAlignment="1">
      <alignment horizontal="center"/>
    </xf>
    <xf numFmtId="167" fontId="0" fillId="0" borderId="0" xfId="1" applyNumberFormat="1" applyFont="1"/>
    <xf numFmtId="180" fontId="0" fillId="0" borderId="0" xfId="1" applyNumberFormat="1" applyFont="1"/>
    <xf numFmtId="175" fontId="35" fillId="0" borderId="0" xfId="26" applyNumberFormat="1" applyFont="1" applyFill="1" applyAlignment="1">
      <alignment horizontal="center"/>
    </xf>
    <xf numFmtId="172" fontId="40" fillId="29" borderId="0" xfId="0" applyNumberFormat="1" applyFont="1" applyFill="1"/>
    <xf numFmtId="172" fontId="35" fillId="0" borderId="0" xfId="0" applyNumberFormat="1" applyFont="1" applyBorder="1"/>
    <xf numFmtId="164" fontId="35" fillId="4" borderId="0" xfId="0" applyNumberFormat="1" applyFont="1" applyFill="1" applyAlignment="1">
      <alignment horizontal="right"/>
    </xf>
    <xf numFmtId="0" fontId="43" fillId="0" borderId="0" xfId="26" applyFont="1" applyFill="1" applyAlignment="1">
      <alignment wrapText="1"/>
    </xf>
    <xf numFmtId="0" fontId="35" fillId="0" borderId="0" xfId="0" applyFont="1" applyAlignment="1">
      <alignment vertical="center"/>
    </xf>
    <xf numFmtId="2" fontId="35" fillId="0" borderId="0" xfId="26" applyNumberFormat="1" applyFont="1" applyFill="1" applyAlignment="1">
      <alignment horizontal="center"/>
    </xf>
    <xf numFmtId="2" fontId="35" fillId="0" borderId="0" xfId="0" applyNumberFormat="1" applyFont="1"/>
    <xf numFmtId="0" fontId="0" fillId="0" borderId="0" xfId="0"/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175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0" applyFont="1"/>
    <xf numFmtId="175" fontId="0" fillId="0" borderId="0" xfId="0" applyNumberFormat="1"/>
    <xf numFmtId="0" fontId="0" fillId="0" borderId="0" xfId="0" applyFill="1" applyBorder="1" applyAlignment="1"/>
    <xf numFmtId="0" fontId="0" fillId="0" borderId="58" xfId="0" applyFill="1" applyBorder="1" applyAlignment="1"/>
    <xf numFmtId="0" fontId="69" fillId="0" borderId="59" xfId="0" applyFont="1" applyFill="1" applyBorder="1" applyAlignment="1">
      <alignment horizontal="center"/>
    </xf>
    <xf numFmtId="0" fontId="69" fillId="0" borderId="59" xfId="0" applyFont="1" applyFill="1" applyBorder="1" applyAlignment="1">
      <alignment horizontal="centerContinuous"/>
    </xf>
    <xf numFmtId="0" fontId="0" fillId="0" borderId="0" xfId="0" applyBorder="1"/>
    <xf numFmtId="10" fontId="0" fillId="0" borderId="0" xfId="2" applyNumberFormat="1" applyFont="1"/>
    <xf numFmtId="10" fontId="0" fillId="0" borderId="0" xfId="0" applyNumberFormat="1"/>
    <xf numFmtId="172" fontId="35" fillId="3" borderId="0" xfId="0" applyNumberFormat="1" applyFont="1" applyFill="1"/>
    <xf numFmtId="172" fontId="35" fillId="3" borderId="0" xfId="0" applyNumberFormat="1" applyFont="1" applyFill="1" applyBorder="1"/>
    <xf numFmtId="172" fontId="40" fillId="29" borderId="0" xfId="0" applyNumberFormat="1" applyFont="1" applyFill="1" applyBorder="1"/>
    <xf numFmtId="2" fontId="35" fillId="0" borderId="0" xfId="26" applyNumberFormat="1" applyFont="1" applyFill="1"/>
    <xf numFmtId="0" fontId="0" fillId="0" borderId="0" xfId="0"/>
    <xf numFmtId="14" fontId="0" fillId="0" borderId="0" xfId="0" applyNumberFormat="1"/>
    <xf numFmtId="0" fontId="3" fillId="0" borderId="0" xfId="0" applyFont="1"/>
    <xf numFmtId="175" fontId="0" fillId="0" borderId="0" xfId="0" applyNumberFormat="1"/>
    <xf numFmtId="0" fontId="0" fillId="0" borderId="0" xfId="0" applyFill="1" applyBorder="1" applyAlignment="1"/>
    <xf numFmtId="0" fontId="0" fillId="0" borderId="58" xfId="0" applyFill="1" applyBorder="1" applyAlignment="1"/>
    <xf numFmtId="0" fontId="69" fillId="0" borderId="59" xfId="0" applyFont="1" applyFill="1" applyBorder="1" applyAlignment="1">
      <alignment horizontal="center"/>
    </xf>
    <xf numFmtId="0" fontId="69" fillId="0" borderId="59" xfId="0" applyFont="1" applyFill="1" applyBorder="1" applyAlignment="1">
      <alignment horizontal="centerContinuous"/>
    </xf>
    <xf numFmtId="0" fontId="0" fillId="0" borderId="0" xfId="0" applyBorder="1"/>
    <xf numFmtId="10" fontId="0" fillId="0" borderId="0" xfId="2" applyNumberFormat="1" applyFont="1"/>
    <xf numFmtId="10" fontId="0" fillId="0" borderId="0" xfId="0" applyNumberFormat="1"/>
    <xf numFmtId="178" fontId="0" fillId="0" borderId="0" xfId="1" applyNumberFormat="1" applyFont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75" fontId="0" fillId="0" borderId="0" xfId="0" applyNumberFormat="1"/>
    <xf numFmtId="0" fontId="2" fillId="30" borderId="0" xfId="0" applyFont="1" applyFill="1" applyAlignment="1">
      <alignment horizontal="center"/>
    </xf>
    <xf numFmtId="0" fontId="0" fillId="0" borderId="0" xfId="0" applyFill="1" applyBorder="1" applyAlignment="1"/>
    <xf numFmtId="0" fontId="0" fillId="0" borderId="58" xfId="0" applyFill="1" applyBorder="1" applyAlignment="1"/>
    <xf numFmtId="0" fontId="69" fillId="0" borderId="59" xfId="0" applyFont="1" applyFill="1" applyBorder="1" applyAlignment="1">
      <alignment horizontal="center"/>
    </xf>
    <xf numFmtId="0" fontId="69" fillId="0" borderId="59" xfId="0" applyFont="1" applyFill="1" applyBorder="1" applyAlignment="1">
      <alignment horizontal="centerContinuous"/>
    </xf>
    <xf numFmtId="10" fontId="0" fillId="0" borderId="0" xfId="2" applyNumberFormat="1" applyFont="1"/>
    <xf numFmtId="10" fontId="0" fillId="0" borderId="0" xfId="0" applyNumberFormat="1"/>
    <xf numFmtId="0" fontId="3" fillId="0" borderId="0" xfId="0" applyFont="1" applyAlignment="1">
      <alignment horizontal="left"/>
    </xf>
    <xf numFmtId="10" fontId="3" fillId="0" borderId="0" xfId="0" applyNumberFormat="1" applyFont="1"/>
    <xf numFmtId="179" fontId="0" fillId="0" borderId="0" xfId="2" applyNumberFormat="1" applyFont="1" applyFill="1" applyBorder="1" applyAlignment="1"/>
    <xf numFmtId="168" fontId="0" fillId="0" borderId="0" xfId="2" applyNumberFormat="1" applyFont="1" applyFill="1" applyBorder="1" applyAlignment="1"/>
    <xf numFmtId="0" fontId="0" fillId="0" borderId="0" xfId="0" applyFont="1"/>
    <xf numFmtId="10" fontId="0" fillId="0" borderId="0" xfId="0" applyNumberFormat="1" applyAlignment="1">
      <alignment horizontal="center"/>
    </xf>
    <xf numFmtId="171" fontId="0" fillId="0" borderId="0" xfId="1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/>
    <xf numFmtId="172" fontId="35" fillId="0" borderId="0" xfId="0" applyNumberFormat="1" applyFont="1" applyBorder="1" applyAlignment="1">
      <alignment vertical="center"/>
    </xf>
    <xf numFmtId="0" fontId="42" fillId="27" borderId="43" xfId="0" applyFont="1" applyFill="1" applyBorder="1" applyAlignment="1">
      <alignment horizontal="center" vertical="center" wrapText="1"/>
    </xf>
    <xf numFmtId="0" fontId="35" fillId="3" borderId="0" xfId="0" applyFont="1" applyFill="1"/>
    <xf numFmtId="0" fontId="42" fillId="27" borderId="60" xfId="0" applyFont="1" applyFill="1" applyBorder="1" applyAlignment="1">
      <alignment horizontal="center" vertical="center"/>
    </xf>
    <xf numFmtId="0" fontId="42" fillId="27" borderId="60" xfId="0" applyFont="1" applyFill="1" applyBorder="1" applyAlignment="1">
      <alignment horizontal="center" vertical="center" wrapText="1"/>
    </xf>
    <xf numFmtId="14" fontId="35" fillId="0" borderId="0" xfId="0" applyNumberFormat="1" applyFont="1" applyAlignment="1">
      <alignment vertical="center"/>
    </xf>
    <xf numFmtId="166" fontId="35" fillId="3" borderId="0" xfId="0" applyNumberFormat="1" applyFont="1" applyFill="1"/>
    <xf numFmtId="0" fontId="42" fillId="27" borderId="0" xfId="0" applyFont="1" applyFill="1" applyBorder="1" applyAlignment="1">
      <alignment horizontal="center" vertical="center"/>
    </xf>
    <xf numFmtId="172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 wrapText="1"/>
    </xf>
    <xf numFmtId="0" fontId="42" fillId="27" borderId="0" xfId="0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vertical="center"/>
    </xf>
    <xf numFmtId="0" fontId="42" fillId="27" borderId="43" xfId="0" applyFont="1" applyFill="1" applyBorder="1" applyAlignment="1">
      <alignment horizontal="center" vertical="center"/>
    </xf>
    <xf numFmtId="14" fontId="35" fillId="3" borderId="0" xfId="0" applyNumberFormat="1" applyFont="1" applyFill="1"/>
    <xf numFmtId="2" fontId="50" fillId="0" borderId="0" xfId="0" applyNumberFormat="1" applyFont="1" applyFill="1"/>
    <xf numFmtId="0" fontId="0" fillId="0" borderId="0" xfId="0"/>
    <xf numFmtId="0" fontId="0" fillId="0" borderId="0" xfId="0"/>
    <xf numFmtId="14" fontId="0" fillId="0" borderId="0" xfId="0" applyNumberFormat="1"/>
    <xf numFmtId="0" fontId="2" fillId="30" borderId="0" xfId="0" applyFont="1" applyFill="1"/>
    <xf numFmtId="2" fontId="0" fillId="0" borderId="20" xfId="0" applyNumberFormat="1" applyBorder="1"/>
    <xf numFmtId="10" fontId="0" fillId="0" borderId="19" xfId="0" applyNumberFormat="1" applyBorder="1"/>
    <xf numFmtId="0" fontId="4" fillId="27" borderId="19" xfId="0" applyFont="1" applyFill="1" applyBorder="1" applyAlignment="1"/>
    <xf numFmtId="0" fontId="0" fillId="27" borderId="19" xfId="0" applyFill="1" applyBorder="1"/>
    <xf numFmtId="0" fontId="2" fillId="27" borderId="19" xfId="0" applyFont="1" applyFill="1" applyBorder="1"/>
    <xf numFmtId="0" fontId="4" fillId="27" borderId="19" xfId="0" applyFont="1" applyFill="1" applyBorder="1" applyAlignment="1">
      <alignment horizontal="center"/>
    </xf>
    <xf numFmtId="0" fontId="4" fillId="27" borderId="21" xfId="0" applyFont="1" applyFill="1" applyBorder="1" applyAlignment="1">
      <alignment horizontal="center"/>
    </xf>
    <xf numFmtId="2" fontId="0" fillId="0" borderId="0" xfId="0" applyNumberFormat="1" applyFill="1" applyBorder="1" applyAlignment="1"/>
    <xf numFmtId="0" fontId="4" fillId="27" borderId="10" xfId="0" applyFont="1" applyFill="1" applyBorder="1" applyAlignment="1">
      <alignment horizontal="center"/>
    </xf>
    <xf numFmtId="0" fontId="4" fillId="27" borderId="60" xfId="0" applyFont="1" applyFill="1" applyBorder="1" applyAlignment="1">
      <alignment horizontal="center"/>
    </xf>
    <xf numFmtId="2" fontId="0" fillId="0" borderId="0" xfId="0" applyNumberFormat="1" applyBorder="1" applyAlignment="1"/>
    <xf numFmtId="0" fontId="4" fillId="27" borderId="33" xfId="0" applyFont="1" applyFill="1" applyBorder="1" applyAlignment="1"/>
    <xf numFmtId="0" fontId="4" fillId="27" borderId="61" xfId="0" applyFont="1" applyFill="1" applyBorder="1" applyAlignment="1"/>
    <xf numFmtId="0" fontId="4" fillId="27" borderId="33" xfId="0" applyFont="1" applyFill="1" applyBorder="1" applyAlignment="1">
      <alignment horizontal="left" vertical="center"/>
    </xf>
    <xf numFmtId="0" fontId="4" fillId="27" borderId="6" xfId="0" applyFont="1" applyFill="1" applyBorder="1" applyAlignment="1">
      <alignment horizontal="left" vertical="center"/>
    </xf>
    <xf numFmtId="9" fontId="4" fillId="27" borderId="33" xfId="2" applyFont="1" applyFill="1" applyBorder="1" applyAlignment="1">
      <alignment horizontal="left"/>
    </xf>
    <xf numFmtId="0" fontId="4" fillId="27" borderId="6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3" borderId="0" xfId="0" applyFont="1" applyFill="1" applyBorder="1" applyAlignment="1">
      <alignment horizontal="left" vertical="center"/>
    </xf>
    <xf numFmtId="2" fontId="3" fillId="3" borderId="0" xfId="0" applyNumberFormat="1" applyFont="1" applyFill="1" applyBorder="1" applyAlignment="1">
      <alignment horizontal="center" vertical="center"/>
    </xf>
    <xf numFmtId="171" fontId="35" fillId="0" borderId="0" xfId="0" applyNumberFormat="1" applyFont="1"/>
    <xf numFmtId="14" fontId="35" fillId="0" borderId="0" xfId="0" applyNumberFormat="1" applyFont="1" applyAlignment="1">
      <alignment horizontal="center"/>
    </xf>
    <xf numFmtId="0" fontId="42" fillId="27" borderId="10" xfId="0" applyFont="1" applyFill="1" applyBorder="1" applyAlignment="1">
      <alignment horizontal="center" vertical="center" wrapText="1"/>
    </xf>
    <xf numFmtId="0" fontId="42" fillId="27" borderId="62" xfId="0" applyFont="1" applyFill="1" applyBorder="1" applyAlignment="1">
      <alignment horizontal="center" vertical="center" wrapText="1"/>
    </xf>
    <xf numFmtId="172" fontId="35" fillId="0" borderId="63" xfId="0" applyNumberFormat="1" applyFont="1" applyBorder="1"/>
    <xf numFmtId="172" fontId="35" fillId="0" borderId="63" xfId="0" applyNumberFormat="1" applyFont="1" applyBorder="1" applyAlignment="1">
      <alignment horizontal="right"/>
    </xf>
    <xf numFmtId="172" fontId="35" fillId="0" borderId="63" xfId="0" applyNumberFormat="1" applyFont="1" applyBorder="1" applyAlignment="1">
      <alignment vertical="center"/>
    </xf>
    <xf numFmtId="172" fontId="35" fillId="3" borderId="63" xfId="0" applyNumberFormat="1" applyFont="1" applyFill="1" applyBorder="1"/>
    <xf numFmtId="172" fontId="40" fillId="29" borderId="63" xfId="0" applyNumberFormat="1" applyFont="1" applyFill="1" applyBorder="1"/>
    <xf numFmtId="2" fontId="35" fillId="0" borderId="63" xfId="0" applyNumberFormat="1" applyFont="1" applyBorder="1"/>
    <xf numFmtId="0" fontId="35" fillId="0" borderId="64" xfId="0" applyFont="1" applyBorder="1"/>
    <xf numFmtId="0" fontId="42" fillId="27" borderId="0" xfId="0" applyFont="1" applyFill="1" applyAlignment="1">
      <alignment horizontal="center" vertical="center"/>
    </xf>
    <xf numFmtId="171" fontId="40" fillId="4" borderId="0" xfId="1" applyNumberFormat="1" applyFont="1" applyFill="1"/>
    <xf numFmtId="171" fontId="42" fillId="24" borderId="0" xfId="1" applyNumberFormat="1" applyFont="1" applyFill="1"/>
    <xf numFmtId="171" fontId="35" fillId="0" borderId="0" xfId="1" applyNumberFormat="1" applyFont="1"/>
    <xf numFmtId="166" fontId="38" fillId="0" borderId="0" xfId="0" applyNumberFormat="1" applyFont="1" applyAlignment="1">
      <alignment horizontal="right"/>
    </xf>
    <xf numFmtId="166" fontId="35" fillId="0" borderId="0" xfId="0" applyNumberFormat="1" applyFont="1" applyFill="1"/>
    <xf numFmtId="172" fontId="40" fillId="4" borderId="1" xfId="25" applyNumberFormat="1" applyFont="1" applyFill="1" applyBorder="1"/>
    <xf numFmtId="0" fontId="49" fillId="0" borderId="0" xfId="25" applyFont="1" applyBorder="1" applyAlignment="1">
      <alignment horizontal="center" wrapText="1"/>
    </xf>
    <xf numFmtId="172" fontId="40" fillId="4" borderId="41" xfId="25" applyNumberFormat="1" applyFont="1" applyFill="1" applyBorder="1"/>
    <xf numFmtId="172" fontId="42" fillId="27" borderId="0" xfId="25" applyNumberFormat="1" applyFont="1" applyFill="1" applyBorder="1"/>
    <xf numFmtId="0" fontId="49" fillId="0" borderId="65" xfId="25" applyFont="1" applyBorder="1" applyAlignment="1">
      <alignment horizontal="center" wrapText="1"/>
    </xf>
    <xf numFmtId="0" fontId="35" fillId="0" borderId="41" xfId="25" applyFont="1" applyBorder="1"/>
    <xf numFmtId="0" fontId="43" fillId="27" borderId="41" xfId="25" applyFont="1" applyFill="1" applyBorder="1"/>
    <xf numFmtId="172" fontId="40" fillId="4" borderId="40" xfId="25" applyNumberFormat="1" applyFont="1" applyFill="1" applyBorder="1"/>
    <xf numFmtId="172" fontId="42" fillId="27" borderId="40" xfId="25" applyNumberFormat="1" applyFont="1" applyFill="1" applyBorder="1"/>
    <xf numFmtId="0" fontId="35" fillId="0" borderId="66" xfId="25" applyFont="1" applyBorder="1"/>
    <xf numFmtId="172" fontId="42" fillId="27" borderId="41" xfId="25" applyNumberFormat="1" applyFont="1" applyFill="1" applyBorder="1"/>
    <xf numFmtId="166" fontId="40" fillId="4" borderId="2" xfId="21" applyFont="1" applyFill="1" applyBorder="1"/>
    <xf numFmtId="164" fontId="42" fillId="27" borderId="19" xfId="0" applyNumberFormat="1" applyFont="1" applyFill="1" applyBorder="1"/>
    <xf numFmtId="0" fontId="42" fillId="27" borderId="19" xfId="0" applyFont="1" applyFill="1" applyBorder="1"/>
    <xf numFmtId="0" fontId="42" fillId="0" borderId="0" xfId="0" applyFont="1" applyFill="1" applyBorder="1" applyAlignment="1"/>
    <xf numFmtId="44" fontId="0" fillId="0" borderId="0" xfId="0" applyNumberFormat="1"/>
    <xf numFmtId="0" fontId="72" fillId="0" borderId="0" xfId="110" applyFont="1"/>
    <xf numFmtId="0" fontId="71" fillId="0" borderId="0" xfId="110" applyFont="1"/>
    <xf numFmtId="0" fontId="73" fillId="0" borderId="0" xfId="110" applyFont="1"/>
    <xf numFmtId="0" fontId="72" fillId="0" borderId="0" xfId="110" applyFont="1" applyAlignment="1">
      <alignment horizontal="center"/>
    </xf>
    <xf numFmtId="10" fontId="73" fillId="0" borderId="67" xfId="110" applyNumberFormat="1" applyFont="1" applyBorder="1" applyAlignment="1">
      <alignment horizontal="center"/>
    </xf>
    <xf numFmtId="0" fontId="73" fillId="0" borderId="34" xfId="110" applyNumberFormat="1" applyFont="1" applyBorder="1" applyAlignment="1">
      <alignment horizontal="center"/>
    </xf>
    <xf numFmtId="0" fontId="73" fillId="0" borderId="68" xfId="110" applyFont="1" applyBorder="1" applyAlignment="1">
      <alignment horizontal="center"/>
    </xf>
    <xf numFmtId="10" fontId="73" fillId="0" borderId="68" xfId="110" applyNumberFormat="1" applyFont="1" applyBorder="1" applyAlignment="1">
      <alignment horizontal="center"/>
    </xf>
    <xf numFmtId="10" fontId="71" fillId="0" borderId="0" xfId="110" applyNumberFormat="1" applyFont="1"/>
    <xf numFmtId="0" fontId="71" fillId="0" borderId="0" xfId="110" applyFont="1" applyBorder="1"/>
    <xf numFmtId="0" fontId="72" fillId="0" borderId="34" xfId="110" applyFont="1" applyBorder="1" applyAlignment="1">
      <alignment horizontal="center"/>
    </xf>
    <xf numFmtId="0" fontId="74" fillId="0" borderId="0" xfId="110" applyFont="1"/>
    <xf numFmtId="44" fontId="73" fillId="0" borderId="34" xfId="111" applyNumberFormat="1" applyFont="1" applyBorder="1" applyAlignment="1">
      <alignment horizontal="center"/>
    </xf>
    <xf numFmtId="44" fontId="73" fillId="0" borderId="34" xfId="110" applyNumberFormat="1" applyFont="1" applyBorder="1" applyAlignment="1">
      <alignment horizontal="center"/>
    </xf>
    <xf numFmtId="0" fontId="35" fillId="0" borderId="0" xfId="0" applyFont="1" applyFill="1" applyBorder="1" applyAlignment="1"/>
    <xf numFmtId="0" fontId="48" fillId="27" borderId="19" xfId="0" applyFont="1" applyFill="1" applyBorder="1" applyAlignment="1">
      <alignment vertical="center"/>
    </xf>
    <xf numFmtId="169" fontId="0" fillId="0" borderId="0" xfId="2" applyNumberFormat="1" applyFont="1"/>
    <xf numFmtId="181" fontId="42" fillId="24" borderId="0" xfId="0" applyNumberFormat="1" applyFont="1" applyFill="1"/>
    <xf numFmtId="164" fontId="81" fillId="28" borderId="0" xfId="0" applyNumberFormat="1" applyFont="1" applyFill="1" applyBorder="1"/>
    <xf numFmtId="10" fontId="80" fillId="62" borderId="0" xfId="0" applyNumberFormat="1" applyFont="1" applyFill="1"/>
    <xf numFmtId="171" fontId="42" fillId="27" borderId="0" xfId="0" applyNumberFormat="1" applyFont="1" applyFill="1" applyBorder="1"/>
    <xf numFmtId="10" fontId="3" fillId="28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0" fontId="47" fillId="27" borderId="19" xfId="0" applyFont="1" applyFill="1" applyBorder="1" applyAlignment="1">
      <alignment horizontal="center" vertical="center"/>
    </xf>
    <xf numFmtId="0" fontId="2" fillId="27" borderId="10" xfId="0" applyFont="1" applyFill="1" applyBorder="1" applyAlignment="1">
      <alignment horizontal="center" vertical="center" textRotation="90"/>
    </xf>
    <xf numFmtId="0" fontId="2" fillId="27" borderId="6" xfId="0" applyFont="1" applyFill="1" applyBorder="1" applyAlignment="1">
      <alignment horizontal="center" vertical="center" textRotation="90"/>
    </xf>
    <xf numFmtId="0" fontId="2" fillId="27" borderId="33" xfId="0" applyFont="1" applyFill="1" applyBorder="1" applyAlignment="1">
      <alignment horizontal="center" vertical="center" textRotation="90"/>
    </xf>
    <xf numFmtId="0" fontId="2" fillId="27" borderId="8" xfId="0" applyFont="1" applyFill="1" applyBorder="1" applyAlignment="1">
      <alignment horizontal="center" vertical="center" textRotation="90"/>
    </xf>
    <xf numFmtId="10" fontId="3" fillId="29" borderId="0" xfId="0" applyNumberFormat="1" applyFont="1" applyFill="1" applyAlignment="1">
      <alignment horizontal="center"/>
    </xf>
    <xf numFmtId="0" fontId="2" fillId="27" borderId="19" xfId="0" applyFont="1" applyFill="1" applyBorder="1" applyAlignment="1">
      <alignment horizontal="center"/>
    </xf>
    <xf numFmtId="0" fontId="4" fillId="27" borderId="20" xfId="0" applyFont="1" applyFill="1" applyBorder="1" applyAlignment="1">
      <alignment horizontal="center" vertical="center"/>
    </xf>
    <xf numFmtId="0" fontId="4" fillId="27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43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51" fillId="28" borderId="31" xfId="2" applyNumberFormat="1" applyFont="1" applyFill="1" applyBorder="1" applyAlignment="1">
      <alignment horizontal="center"/>
    </xf>
    <xf numFmtId="10" fontId="51" fillId="28" borderId="20" xfId="2" applyNumberFormat="1" applyFont="1" applyFill="1" applyBorder="1" applyAlignment="1">
      <alignment horizontal="center"/>
    </xf>
    <xf numFmtId="2" fontId="51" fillId="0" borderId="31" xfId="0" applyNumberFormat="1" applyFont="1" applyFill="1" applyBorder="1" applyAlignment="1">
      <alignment horizontal="center"/>
    </xf>
    <xf numFmtId="2" fontId="51" fillId="0" borderId="20" xfId="0" applyNumberFormat="1" applyFont="1" applyFill="1" applyBorder="1" applyAlignment="1">
      <alignment horizontal="center"/>
    </xf>
    <xf numFmtId="10" fontId="51" fillId="0" borderId="43" xfId="0" applyNumberFormat="1" applyFont="1" applyFill="1" applyBorder="1" applyAlignment="1">
      <alignment horizontal="center"/>
    </xf>
    <xf numFmtId="10" fontId="51" fillId="0" borderId="0" xfId="0" applyNumberFormat="1" applyFont="1" applyFill="1" applyBorder="1" applyAlignment="1">
      <alignment horizontal="center"/>
    </xf>
    <xf numFmtId="0" fontId="51" fillId="0" borderId="43" xfId="0" applyNumberFormat="1" applyFont="1" applyFill="1" applyBorder="1" applyAlignment="1">
      <alignment horizontal="center"/>
    </xf>
    <xf numFmtId="0" fontId="51" fillId="0" borderId="0" xfId="0" applyNumberFormat="1" applyFont="1" applyFill="1" applyBorder="1" applyAlignment="1">
      <alignment horizontal="center"/>
    </xf>
    <xf numFmtId="2" fontId="3" fillId="28" borderId="0" xfId="0" applyNumberFormat="1" applyFont="1" applyFill="1" applyAlignment="1">
      <alignment horizontal="center"/>
    </xf>
    <xf numFmtId="0" fontId="51" fillId="0" borderId="48" xfId="0" applyFont="1" applyFill="1" applyBorder="1" applyAlignment="1">
      <alignment horizontal="center"/>
    </xf>
    <xf numFmtId="0" fontId="51" fillId="0" borderId="19" xfId="0" applyFont="1" applyFill="1" applyBorder="1" applyAlignment="1">
      <alignment horizontal="center"/>
    </xf>
    <xf numFmtId="0" fontId="2" fillId="27" borderId="19" xfId="0" applyFont="1" applyFill="1" applyBorder="1" applyAlignment="1">
      <alignment horizontal="left"/>
    </xf>
    <xf numFmtId="9" fontId="0" fillId="0" borderId="43" xfId="2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42" fillId="27" borderId="0" xfId="0" applyFont="1" applyFill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2" fillId="27" borderId="0" xfId="0" applyFont="1" applyFill="1" applyAlignment="1">
      <alignment horizontal="center" vertical="center"/>
    </xf>
    <xf numFmtId="0" fontId="42" fillId="27" borderId="4" xfId="0" applyFont="1" applyFill="1" applyBorder="1" applyAlignment="1">
      <alignment horizontal="center"/>
    </xf>
    <xf numFmtId="0" fontId="42" fillId="27" borderId="0" xfId="0" applyFont="1" applyFill="1" applyBorder="1" applyAlignment="1">
      <alignment horizontal="center" vertical="center" textRotation="90"/>
    </xf>
    <xf numFmtId="0" fontId="42" fillId="27" borderId="0" xfId="0" applyFont="1" applyFill="1" applyBorder="1" applyAlignment="1">
      <alignment horizontal="center" vertical="center" textRotation="90" wrapText="1"/>
    </xf>
    <xf numFmtId="10" fontId="50" fillId="0" borderId="0" xfId="0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2" fontId="0" fillId="0" borderId="0" xfId="2" applyNumberFormat="1" applyFont="1" applyBorder="1" applyAlignment="1">
      <alignment horizontal="center"/>
    </xf>
    <xf numFmtId="0" fontId="4" fillId="27" borderId="0" xfId="0" applyFont="1" applyFill="1" applyBorder="1" applyAlignment="1">
      <alignment horizontal="center" vertical="center"/>
    </xf>
    <xf numFmtId="10" fontId="3" fillId="3" borderId="0" xfId="2" applyNumberFormat="1" applyFont="1" applyFill="1" applyAlignment="1">
      <alignment horizontal="center"/>
    </xf>
    <xf numFmtId="0" fontId="4" fillId="27" borderId="10" xfId="0" applyFont="1" applyFill="1" applyBorder="1" applyAlignment="1">
      <alignment horizontal="left" vertical="center"/>
    </xf>
    <xf numFmtId="10" fontId="0" fillId="0" borderId="0" xfId="2" applyNumberFormat="1" applyFont="1" applyBorder="1" applyAlignment="1">
      <alignment horizontal="center"/>
    </xf>
    <xf numFmtId="9" fontId="0" fillId="0" borderId="0" xfId="2" applyFont="1" applyAlignment="1">
      <alignment horizontal="center"/>
    </xf>
    <xf numFmtId="10" fontId="0" fillId="0" borderId="19" xfId="0" applyNumberFormat="1" applyBorder="1" applyAlignment="1">
      <alignment horizontal="center"/>
    </xf>
    <xf numFmtId="0" fontId="42" fillId="0" borderId="0" xfId="25" applyFont="1" applyFill="1" applyAlignment="1">
      <alignment horizontal="center"/>
    </xf>
    <xf numFmtId="0" fontId="42" fillId="27" borderId="0" xfId="25" applyFont="1" applyFill="1" applyBorder="1" applyAlignment="1">
      <alignment horizontal="center"/>
    </xf>
    <xf numFmtId="0" fontId="42" fillId="27" borderId="0" xfId="0" applyFont="1" applyFill="1" applyBorder="1" applyAlignment="1">
      <alignment wrapText="1"/>
    </xf>
    <xf numFmtId="0" fontId="82" fillId="27" borderId="19" xfId="0" applyFont="1" applyFill="1" applyBorder="1" applyAlignment="1">
      <alignment vertical="center"/>
    </xf>
    <xf numFmtId="0" fontId="39" fillId="0" borderId="0" xfId="25" applyFont="1" applyAlignment="1">
      <alignment wrapText="1"/>
    </xf>
    <xf numFmtId="0" fontId="83" fillId="63" borderId="0" xfId="25" applyFont="1" applyFill="1" applyAlignment="1"/>
    <xf numFmtId="0" fontId="84" fillId="64" borderId="0" xfId="25" applyFont="1" applyFill="1" applyAlignment="1">
      <alignment vertical="center" wrapText="1"/>
    </xf>
    <xf numFmtId="0" fontId="85" fillId="0" borderId="0" xfId="25" applyNumberFormat="1" applyFont="1" applyAlignment="1"/>
    <xf numFmtId="0" fontId="39" fillId="0" borderId="0" xfId="27" applyFont="1" applyAlignment="1">
      <alignment wrapText="1"/>
    </xf>
    <xf numFmtId="0" fontId="86" fillId="63" borderId="0" xfId="27" applyFont="1" applyFill="1" applyAlignment="1"/>
    <xf numFmtId="0" fontId="84" fillId="64" borderId="0" xfId="26" applyFont="1" applyFill="1" applyAlignment="1">
      <alignment horizontal="left" vertical="center" wrapText="1"/>
    </xf>
    <xf numFmtId="0" fontId="87" fillId="0" borderId="0" xfId="27" applyNumberFormat="1" applyFont="1" applyAlignment="1"/>
    <xf numFmtId="0" fontId="35" fillId="28" borderId="0" xfId="0" applyFont="1" applyFill="1" applyBorder="1" applyAlignment="1">
      <alignment horizontal="center"/>
    </xf>
    <xf numFmtId="164" fontId="35" fillId="28" borderId="0" xfId="0" applyNumberFormat="1" applyFont="1" applyFill="1" applyBorder="1" applyAlignment="1">
      <alignment horizontal="center"/>
    </xf>
    <xf numFmtId="0" fontId="88" fillId="0" borderId="0" xfId="0" applyNumberFormat="1" applyFont="1" applyAlignment="1"/>
    <xf numFmtId="0" fontId="89" fillId="0" borderId="0" xfId="0" applyFont="1"/>
    <xf numFmtId="0" fontId="84" fillId="23" borderId="0" xfId="0" applyFont="1" applyFill="1" applyAlignment="1">
      <alignment wrapText="1"/>
    </xf>
    <xf numFmtId="0" fontId="39" fillId="0" borderId="0" xfId="0" applyFont="1" applyAlignment="1">
      <alignment wrapText="1"/>
    </xf>
    <xf numFmtId="0" fontId="83" fillId="63" borderId="0" xfId="0" applyFont="1" applyFill="1" applyAlignment="1"/>
  </cellXfs>
  <cellStyles count="116">
    <cellStyle name="20% - Accent1" xfId="87" builtinId="30" customBuiltin="1"/>
    <cellStyle name="20% - Accent2" xfId="91" builtinId="34" customBuiltin="1"/>
    <cellStyle name="20% - Accent3" xfId="95" builtinId="38" customBuiltin="1"/>
    <cellStyle name="20% - Accent4" xfId="99" builtinId="42" customBuiltin="1"/>
    <cellStyle name="20% - Accent5" xfId="103" builtinId="46" customBuiltin="1"/>
    <cellStyle name="20% - Accent6" xfId="107" builtinId="50" customBuiltin="1"/>
    <cellStyle name="20% - アクセント 1" xfId="3"/>
    <cellStyle name="20% - アクセント 2" xfId="4"/>
    <cellStyle name="20% - アクセント 3" xfId="5"/>
    <cellStyle name="20% - アクセント 4" xfId="6"/>
    <cellStyle name="20% - アクセント 5" xfId="7"/>
    <cellStyle name="20% - アクセント 6" xfId="8"/>
    <cellStyle name="40% - Accent1" xfId="88" builtinId="31" customBuiltin="1"/>
    <cellStyle name="40% - Accent2" xfId="92" builtinId="35" customBuiltin="1"/>
    <cellStyle name="40% - Accent3" xfId="96" builtinId="39" customBuiltin="1"/>
    <cellStyle name="40% - Accent4" xfId="100" builtinId="43" customBuiltin="1"/>
    <cellStyle name="40% - Accent5" xfId="104" builtinId="47" customBuiltin="1"/>
    <cellStyle name="40% - Accent6" xfId="108" builtinId="51" customBuiltin="1"/>
    <cellStyle name="40% - アクセント 1" xfId="9"/>
    <cellStyle name="40% - アクセント 2" xfId="10"/>
    <cellStyle name="40% - アクセント 3" xfId="11"/>
    <cellStyle name="40% - アクセント 4" xfId="12"/>
    <cellStyle name="40% - アクセント 5" xfId="13"/>
    <cellStyle name="40% - アクセント 6" xfId="14"/>
    <cellStyle name="60% - Accent1" xfId="89" builtinId="32" customBuiltin="1"/>
    <cellStyle name="60% - Accent2" xfId="93" builtinId="36" customBuiltin="1"/>
    <cellStyle name="60% - Accent3" xfId="97" builtinId="40" customBuiltin="1"/>
    <cellStyle name="60% - Accent4" xfId="101" builtinId="44" customBuiltin="1"/>
    <cellStyle name="60% - Accent5" xfId="105" builtinId="48" customBuiltin="1"/>
    <cellStyle name="60% - Accent6" xfId="109" builtinId="52" customBuiltin="1"/>
    <cellStyle name="60% - アクセント 1" xfId="15"/>
    <cellStyle name="60% - アクセント 2" xfId="16"/>
    <cellStyle name="60% - アクセント 3" xfId="17"/>
    <cellStyle name="60% - アクセント 4" xfId="18"/>
    <cellStyle name="60% - アクセント 5" xfId="19"/>
    <cellStyle name="60% - アクセント 6" xfId="20"/>
    <cellStyle name="Accent1" xfId="86" builtinId="29" customBuiltin="1"/>
    <cellStyle name="Accent2" xfId="90" builtinId="33" customBuiltin="1"/>
    <cellStyle name="Accent3" xfId="94" builtinId="37" customBuiltin="1"/>
    <cellStyle name="Accent4" xfId="98" builtinId="41" customBuiltin="1"/>
    <cellStyle name="Accent5" xfId="102" builtinId="45" customBuiltin="1"/>
    <cellStyle name="Accent6" xfId="106" builtinId="49" customBuiltin="1"/>
    <cellStyle name="Bad" xfId="75" builtinId="27" customBuiltin="1"/>
    <cellStyle name="Calculation" xfId="79" builtinId="22" customBuiltin="1"/>
    <cellStyle name="Check Cell" xfId="81" builtinId="23" customBuiltin="1"/>
    <cellStyle name="Comma" xfId="1" builtinId="3"/>
    <cellStyle name="Comma 2" xfId="21"/>
    <cellStyle name="Comma 2 2" xfId="22"/>
    <cellStyle name="Comma 3" xfId="23"/>
    <cellStyle name="Currency 2" xfId="111"/>
    <cellStyle name="Explanatory Text" xfId="84" builtinId="53" customBuiltin="1"/>
    <cellStyle name="Followed Hyperlink" xfId="113" builtinId="9" hidden="1"/>
    <cellStyle name="Followed Hyperlink" xfId="115" builtinId="9" hidden="1"/>
    <cellStyle name="Good" xfId="74" builtinId="26" customBuiltin="1"/>
    <cellStyle name="Heading 1" xfId="70" builtinId="16" customBuiltin="1"/>
    <cellStyle name="Heading 2" xfId="71" builtinId="17" customBuiltin="1"/>
    <cellStyle name="Heading 3" xfId="72" builtinId="18" customBuiltin="1"/>
    <cellStyle name="Heading 4" xfId="73" builtinId="19" customBuiltin="1"/>
    <cellStyle name="Hyperlink" xfId="112" builtinId="8" hidden="1"/>
    <cellStyle name="Hyperlink" xfId="114" builtinId="8" hidden="1"/>
    <cellStyle name="Hyperlink 2" xfId="24"/>
    <cellStyle name="Input" xfId="77" builtinId="20" customBuiltin="1"/>
    <cellStyle name="Linked Cell" xfId="80" builtinId="24" customBuiltin="1"/>
    <cellStyle name="Neutral" xfId="76" builtinId="28" customBuiltin="1"/>
    <cellStyle name="Normal" xfId="0" builtinId="0"/>
    <cellStyle name="Normal 2" xfId="25"/>
    <cellStyle name="Normal 2 2" xfId="26"/>
    <cellStyle name="Normal 3" xfId="27"/>
    <cellStyle name="Normal 4" xfId="28"/>
    <cellStyle name="Normal 5" xfId="110"/>
    <cellStyle name="Note" xfId="83" builtinId="10" customBuiltin="1"/>
    <cellStyle name="Output" xfId="78" builtinId="21" customBuiltin="1"/>
    <cellStyle name="Percent" xfId="2" builtinId="5"/>
    <cellStyle name="Percent 2" xfId="29"/>
    <cellStyle name="Percent 2 2" xfId="30"/>
    <cellStyle name="Percent 3" xfId="31"/>
    <cellStyle name="Percent 4" xfId="32"/>
    <cellStyle name="Style 1" xfId="33"/>
    <cellStyle name="Style 21" xfId="34"/>
    <cellStyle name="Style 22" xfId="35"/>
    <cellStyle name="Style 23" xfId="36"/>
    <cellStyle name="Style 24" xfId="37"/>
    <cellStyle name="Style 25" xfId="38"/>
    <cellStyle name="Style 26" xfId="39"/>
    <cellStyle name="Style 27" xfId="40"/>
    <cellStyle name="Style 28" xfId="41"/>
    <cellStyle name="Style 29" xfId="42"/>
    <cellStyle name="Style 30" xfId="43"/>
    <cellStyle name="Style 31" xfId="44"/>
    <cellStyle name="Title" xfId="69" builtinId="15" customBuiltin="1"/>
    <cellStyle name="Total" xfId="85" builtinId="25" customBuiltin="1"/>
    <cellStyle name="Warning Text" xfId="82" builtinId="11" customBuiltin="1"/>
    <cellStyle name="アクセント 1" xfId="45"/>
    <cellStyle name="アクセント 2" xfId="46"/>
    <cellStyle name="アクセント 3" xfId="47"/>
    <cellStyle name="アクセント 4" xfId="48"/>
    <cellStyle name="アクセント 5" xfId="49"/>
    <cellStyle name="アクセント 6" xfId="50"/>
    <cellStyle name="タイトル" xfId="51"/>
    <cellStyle name="チェック セル" xfId="52"/>
    <cellStyle name="どちらでもない" xfId="53"/>
    <cellStyle name="メモ" xfId="54"/>
    <cellStyle name="リンク セル" xfId="55"/>
    <cellStyle name="入力" xfId="56"/>
    <cellStyle name="出力" xfId="57"/>
    <cellStyle name="悪い" xfId="58"/>
    <cellStyle name="標準_#EarningsSummary" xfId="59"/>
    <cellStyle name="良い" xfId="60"/>
    <cellStyle name="見出し 1" xfId="61"/>
    <cellStyle name="見出し 2" xfId="62"/>
    <cellStyle name="見出し 3" xfId="63"/>
    <cellStyle name="見出し 4" xfId="64"/>
    <cellStyle name="計算" xfId="65"/>
    <cellStyle name="説明文" xfId="66"/>
    <cellStyle name="警告文" xfId="67"/>
    <cellStyle name="集計" xfId="68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252D39"/>
      <color rgb="FFEA003D"/>
      <color rgb="FF9E9F9E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962753251349203"/>
          <c:y val="0.11123636413563499"/>
          <c:w val="0.56570959528935305"/>
          <c:h val="0.66914200520886402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cat>
            <c:strRef>
              <c:f>'Football Field'!$A$15:$A$18</c:f>
              <c:strCache>
                <c:ptCount val="4"/>
                <c:pt idx="0">
                  <c:v>Comparable Company Valuation 2013 EBITDA 10.72 x - 66.51 x</c:v>
                </c:pt>
                <c:pt idx="1">
                  <c:v>Comparable Company Valuation 2013 EBIT 7.39 x - 22.44 x</c:v>
                </c:pt>
                <c:pt idx="2">
                  <c:v>DCF Analysis Exit Multiple 5.53 x - 15.76 x</c:v>
                </c:pt>
                <c:pt idx="3">
                  <c:v>Comparable Transactions EBITDA 14.93 x - 57.46 x</c:v>
                </c:pt>
              </c:strCache>
            </c:strRef>
          </c:cat>
          <c:val>
            <c:numRef>
              <c:f>'Football Field'!$C$15:$C$18</c:f>
              <c:numCache>
                <c:formatCode>_-* #,##0.00\ _€_-;\-* #,##0.00\ _€_-;_-* "-"??\ _€_-;_-@_-</c:formatCode>
                <c:ptCount val="4"/>
                <c:pt idx="0">
                  <c:v>921.92000000000007</c:v>
                </c:pt>
                <c:pt idx="1">
                  <c:v>-4234.7042934517312</c:v>
                </c:pt>
                <c:pt idx="2">
                  <c:v>2524.4662186111627</c:v>
                </c:pt>
                <c:pt idx="3">
                  <c:v>1283.98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'Football Field'!$A$15:$A$18</c:f>
              <c:strCache>
                <c:ptCount val="4"/>
                <c:pt idx="0">
                  <c:v>Comparable Company Valuation 2013 EBITDA 10.72 x - 66.51 x</c:v>
                </c:pt>
                <c:pt idx="1">
                  <c:v>Comparable Company Valuation 2013 EBIT 7.39 x - 22.44 x</c:v>
                </c:pt>
                <c:pt idx="2">
                  <c:v>DCF Analysis Exit Multiple 5.53 x - 15.76 x</c:v>
                </c:pt>
                <c:pt idx="3">
                  <c:v>Comparable Transactions EBITDA 14.93 x - 57.46 x</c:v>
                </c:pt>
              </c:strCache>
            </c:strRef>
          </c:cat>
          <c:val>
            <c:numRef>
              <c:f>'Football Field'!$E$15:$E$18</c:f>
              <c:numCache>
                <c:formatCode>_-* #,##0.00\ _€_-;\-* #,##0.00\ _€_-;_-* "-"??\ _€_-;_-@_-</c:formatCode>
                <c:ptCount val="4"/>
                <c:pt idx="0">
                  <c:v>4797.9400000000005</c:v>
                </c:pt>
                <c:pt idx="1">
                  <c:v>-8621.3796867588098</c:v>
                </c:pt>
                <c:pt idx="2">
                  <c:v>87.404450360875217</c:v>
                </c:pt>
                <c:pt idx="3">
                  <c:v>3657.5800000000004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0441472"/>
        <c:axId val="1770446368"/>
      </c:barChart>
      <c:catAx>
        <c:axId val="17704414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</a:ln>
        </c:spPr>
        <c:crossAx val="1770446368"/>
        <c:crosses val="autoZero"/>
        <c:auto val="1"/>
        <c:lblAlgn val="ctr"/>
        <c:lblOffset val="100"/>
        <c:noMultiLvlLbl val="0"/>
      </c:catAx>
      <c:valAx>
        <c:axId val="1770446368"/>
        <c:scaling>
          <c:orientation val="minMax"/>
          <c:max val="17000"/>
          <c:min val="1000"/>
        </c:scaling>
        <c:delete val="0"/>
        <c:axPos val="b"/>
        <c:numFmt formatCode="_-* #,##0.00\ _€_-;\-* #,##0.00\ _€_-;_-* &quot;-&quot;??\ _€_-;_-@_-" sourceLinked="1"/>
        <c:majorTickMark val="out"/>
        <c:minorTickMark val="none"/>
        <c:tickLblPos val="nextTo"/>
        <c:crossAx val="1770441472"/>
        <c:crosses val="autoZero"/>
        <c:crossBetween val="between"/>
        <c:majorUnit val="3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0"/>
  </c:spPr>
  <c:txPr>
    <a:bodyPr/>
    <a:lstStyle/>
    <a:p>
      <a:pPr>
        <a:defRPr sz="11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166687</xdr:rowOff>
    </xdr:from>
    <xdr:to>
      <xdr:col>6</xdr:col>
      <xdr:colOff>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0.42827</cdr:x>
      <cdr:y>0.0398</cdr:y>
    </cdr:from>
    <cdr:to>
      <cdr:x>0.46645</cdr:x>
      <cdr:y>0.77035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984882" y="165095"/>
          <a:ext cx="444368" cy="3030422"/>
        </a:xfrm>
        <a:prstGeom xmlns:a="http://schemas.openxmlformats.org/drawingml/2006/main" prst="rect">
          <a:avLst/>
        </a:prstGeom>
        <a:solidFill xmlns:a="http://schemas.openxmlformats.org/drawingml/2006/main">
          <a:srgbClr val="474747">
            <a:alpha val="50000"/>
          </a:srgbClr>
        </a:solidFill>
        <a:ln xmlns:a="http://schemas.openxmlformats.org/drawingml/2006/main" w="12700">
          <a:solidFill>
            <a:sysClr val="windowText" lastClr="000000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0.35674</cdr:x>
      <cdr:y>0.78354</cdr:y>
    </cdr:from>
    <cdr:to>
      <cdr:x>0.73876</cdr:x>
      <cdr:y>0.89628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29025" y="3309938"/>
          <a:ext cx="38862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0.52247</cdr:x>
      <cdr:y>0.88726</cdr:y>
    </cdr:from>
    <cdr:to>
      <cdr:x>0.82397</cdr:x>
      <cdr:y>0.95716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314948" y="3748089"/>
          <a:ext cx="3067051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itchFamily="34" charset="0"/>
              <a:cs typeface="Arial" pitchFamily="34" charset="0"/>
            </a:rPr>
            <a:t>Enterprise Value (Millions of EUR)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23813</xdr:colOff>
      <xdr:row>2</xdr:row>
      <xdr:rowOff>23813</xdr:rowOff>
    </xdr:from>
    <xdr:to>
      <xdr:col>12</xdr:col>
      <xdr:colOff>35719</xdr:colOff>
      <xdr:row>21</xdr:row>
      <xdr:rowOff>178594</xdr:rowOff>
    </xdr:to>
    <xdr:sp macro="" textlink="">
      <xdr:nvSpPr>
        <xdr:cNvPr id="2" name="Rectangle 1"/>
        <xdr:cNvSpPr/>
      </xdr:nvSpPr>
      <xdr:spPr>
        <a:xfrm>
          <a:off x="10120313" y="416719"/>
          <a:ext cx="4476750" cy="3286125"/>
        </a:xfrm>
        <a:prstGeom prst="rect">
          <a:avLst/>
        </a:prstGeom>
        <a:solidFill>
          <a:schemeClr val="accent1">
            <a:alpha val="2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.STUDENT.000/AppData/Local/Microsoft/Windows/Temporary%20Internet%20Files/Content.IE5/PBD5B7ZD/Users/TEMP.STUDENT.005/Downloads/Bridgestone_Valuation%20MASTER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.STUDENT.000/AppData/Local/Microsoft/Windows/Temporary%20Internet%20Files/Content.IE5/PBD5B7ZD/Users/TEMP/AppData/Local/Microsoft/Windows/Temporary%20Internet%20Files/Content.IE5/YBLLKGXW/M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252D39"/>
    <pageSetUpPr fitToPage="1"/>
  </sheetPr>
  <dimension ref="A1:H29"/>
  <sheetViews>
    <sheetView showGridLines="0" topLeftCell="A2" workbookViewId="0">
      <selection activeCell="D3" sqref="D3"/>
    </sheetView>
  </sheetViews>
  <sheetFormatPr defaultColWidth="9.140625" defaultRowHeight="14.25"/>
  <cols>
    <col min="1" max="1" width="58.7109375" style="77" customWidth="1"/>
    <col min="2" max="2" width="14" style="77" bestFit="1" customWidth="1"/>
    <col min="3" max="3" width="17.42578125" style="77" bestFit="1" customWidth="1"/>
    <col min="4" max="4" width="16.28515625" style="77" customWidth="1"/>
    <col min="5" max="5" width="23" style="77" bestFit="1" customWidth="1"/>
    <col min="6" max="6" width="23.42578125" style="77" bestFit="1" customWidth="1"/>
    <col min="7" max="7" width="9.140625" style="77"/>
    <col min="8" max="8" width="17.42578125" style="77" bestFit="1" customWidth="1"/>
    <col min="9" max="16384" width="9.140625" style="77"/>
  </cols>
  <sheetData>
    <row r="1" spans="1:8" ht="15">
      <c r="A1" s="210" t="s">
        <v>327</v>
      </c>
      <c r="B1" s="510" t="s">
        <v>128</v>
      </c>
      <c r="C1" s="510" t="s">
        <v>127</v>
      </c>
      <c r="D1" s="510" t="s">
        <v>496</v>
      </c>
      <c r="E1" s="510" t="s">
        <v>126</v>
      </c>
      <c r="F1" s="510" t="s">
        <v>125</v>
      </c>
    </row>
    <row r="2" spans="1:8" ht="15">
      <c r="A2" s="81" t="s">
        <v>492</v>
      </c>
      <c r="B2" s="81"/>
      <c r="C2" s="81"/>
      <c r="D2" s="81"/>
      <c r="E2" s="81"/>
      <c r="F2" s="81"/>
    </row>
    <row r="3" spans="1:8">
      <c r="A3" s="77" t="str">
        <f>CONCATENATE("2013 EBITDA"," ",ROUND(B3,2)," x - ",ROUND(C3,2)," x")</f>
        <v>2013 EBITDA 10.72 x - 66.51 x</v>
      </c>
      <c r="B3" s="88">
        <v>10.72</v>
      </c>
      <c r="C3" s="88">
        <v>66.510000000000005</v>
      </c>
      <c r="D3" s="87">
        <f>'Income Statement'!F13</f>
        <v>86</v>
      </c>
      <c r="E3" s="87">
        <f>B3*D3</f>
        <v>921.92000000000007</v>
      </c>
      <c r="F3" s="87">
        <f>C3*D3</f>
        <v>5719.8600000000006</v>
      </c>
      <c r="G3" s="88"/>
    </row>
    <row r="4" spans="1:8">
      <c r="A4" s="77" t="str">
        <f>CONCATENATE("2013 EBIT"," ",ROUND(B4,2)," x - ",ROUND(C4,2)," x")</f>
        <v>2013 EBIT 7.39 x - 22.44 x</v>
      </c>
      <c r="B4" s="88">
        <f>'Comparable Company Valuation'!I17</f>
        <v>7.3904088890955171</v>
      </c>
      <c r="C4" s="88">
        <f>'Comparable Company Valuation'!I16</f>
        <v>22.436446736842129</v>
      </c>
      <c r="D4" s="87">
        <f>'Income Statement'!F25</f>
        <v>-573</v>
      </c>
      <c r="E4" s="87">
        <f>B4*D4</f>
        <v>-4234.7042934517312</v>
      </c>
      <c r="F4" s="87">
        <f>C4*D4</f>
        <v>-12856.08398021054</v>
      </c>
      <c r="G4" s="88"/>
    </row>
    <row r="5" spans="1:8">
      <c r="A5" s="84"/>
      <c r="B5" s="84"/>
      <c r="C5" s="84"/>
      <c r="D5" s="84"/>
      <c r="E5" s="84"/>
      <c r="F5" s="84"/>
    </row>
    <row r="6" spans="1:8" ht="15">
      <c r="A6" s="81" t="s">
        <v>124</v>
      </c>
      <c r="B6" s="81"/>
      <c r="C6" s="81"/>
      <c r="D6" s="81"/>
      <c r="E6" s="81"/>
      <c r="F6" s="81"/>
    </row>
    <row r="7" spans="1:8">
      <c r="A7" s="77" t="str">
        <f>CONCATENATE("Exit Multiple"," ",ROUND(B7,2)," x - ",ROUND(C7,2)," x")</f>
        <v>Exit Multiple 5.53 x - 15.76 x</v>
      </c>
      <c r="B7" s="88">
        <v>5.53</v>
      </c>
      <c r="C7" s="88">
        <v>15.76</v>
      </c>
      <c r="D7" s="87">
        <f>D3</f>
        <v>86</v>
      </c>
      <c r="E7" s="87">
        <f>'DCF Analysis '!B47</f>
        <v>2524.4662186111627</v>
      </c>
      <c r="F7" s="87">
        <f>'DCF Analysis '!F47</f>
        <v>2611.8706689720379</v>
      </c>
      <c r="G7" s="88"/>
    </row>
    <row r="8" spans="1:8">
      <c r="A8" s="84"/>
      <c r="B8" s="84"/>
      <c r="C8" s="84"/>
      <c r="D8" s="84"/>
      <c r="E8" s="84"/>
      <c r="F8" s="84"/>
    </row>
    <row r="9" spans="1:8" ht="15">
      <c r="A9" s="81" t="s">
        <v>491</v>
      </c>
      <c r="B9" s="81"/>
      <c r="C9" s="81"/>
      <c r="D9" s="81"/>
      <c r="E9" s="81"/>
      <c r="F9" s="81"/>
    </row>
    <row r="10" spans="1:8">
      <c r="A10" s="77" t="str">
        <f>CONCATENATE("EBITDA"," ",ROUND(B10,2)," x - ",ROUND(C10,2)," x")</f>
        <v>EBITDA 14.93 x - 57.46 x</v>
      </c>
      <c r="B10" s="88">
        <v>14.93</v>
      </c>
      <c r="C10" s="88">
        <v>57.46</v>
      </c>
      <c r="D10" s="515">
        <f>D3</f>
        <v>86</v>
      </c>
      <c r="E10" s="515">
        <f>D10*B10</f>
        <v>1283.98</v>
      </c>
      <c r="F10" s="515">
        <f>D10*C10</f>
        <v>4941.5600000000004</v>
      </c>
    </row>
    <row r="11" spans="1:8">
      <c r="B11" s="112"/>
      <c r="C11" s="112"/>
      <c r="D11" s="112"/>
      <c r="E11" s="112"/>
      <c r="F11" s="112"/>
    </row>
    <row r="12" spans="1:8">
      <c r="A12" s="112"/>
      <c r="B12" s="112"/>
      <c r="C12" s="112"/>
      <c r="D12" s="112"/>
      <c r="E12" s="112"/>
      <c r="F12" s="112"/>
    </row>
    <row r="13" spans="1:8">
      <c r="A13" s="112"/>
      <c r="B13" s="112"/>
      <c r="C13" s="112"/>
      <c r="D13" s="112"/>
      <c r="E13" s="112"/>
      <c r="F13" s="112"/>
    </row>
    <row r="14" spans="1:8">
      <c r="G14" s="88"/>
      <c r="H14" s="87"/>
    </row>
    <row r="15" spans="1:8">
      <c r="A15" s="77" t="str">
        <f>CONCATENATE(A2," ",A3)</f>
        <v>Comparable Company Valuation 2013 EBITDA 10.72 x - 66.51 x</v>
      </c>
      <c r="B15" s="88">
        <f>C3-B3</f>
        <v>55.790000000000006</v>
      </c>
      <c r="C15" s="87">
        <f>E3</f>
        <v>921.92000000000007</v>
      </c>
      <c r="D15" s="87">
        <f>F3</f>
        <v>5719.8600000000006</v>
      </c>
      <c r="E15" s="87">
        <f>D15-C15</f>
        <v>4797.9400000000005</v>
      </c>
    </row>
    <row r="16" spans="1:8">
      <c r="A16" s="77" t="str">
        <f>CONCATENATE(A2," ",A4)</f>
        <v>Comparable Company Valuation 2013 EBIT 7.39 x - 22.44 x</v>
      </c>
      <c r="B16" s="88">
        <f>C4-B4</f>
        <v>15.046037847746611</v>
      </c>
      <c r="C16" s="87">
        <f>E4</f>
        <v>-4234.7042934517312</v>
      </c>
      <c r="D16" s="87">
        <f>F4</f>
        <v>-12856.08398021054</v>
      </c>
      <c r="E16" s="87">
        <f>D16-C16</f>
        <v>-8621.3796867588098</v>
      </c>
    </row>
    <row r="17" spans="1:6">
      <c r="A17" s="77" t="str">
        <f>CONCATENATE(A6," ",A7)</f>
        <v>DCF Analysis Exit Multiple 5.53 x - 15.76 x</v>
      </c>
      <c r="B17" s="88">
        <f>C7-B7</f>
        <v>10.23</v>
      </c>
      <c r="C17" s="87">
        <f>E7</f>
        <v>2524.4662186111627</v>
      </c>
      <c r="D17" s="87">
        <f>F7</f>
        <v>2611.8706689720379</v>
      </c>
      <c r="E17" s="87">
        <f>D17-C17</f>
        <v>87.404450360875217</v>
      </c>
    </row>
    <row r="18" spans="1:6">
      <c r="A18" s="77" t="str">
        <f>CONCATENATE(A9," ",A10)</f>
        <v>Comparable Transactions EBITDA 14.93 x - 57.46 x</v>
      </c>
      <c r="B18" s="88">
        <f>C10-B10</f>
        <v>42.53</v>
      </c>
      <c r="C18" s="87">
        <f>E10</f>
        <v>1283.98</v>
      </c>
      <c r="D18" s="87">
        <f>F10</f>
        <v>4941.5600000000004</v>
      </c>
      <c r="E18" s="87">
        <f>D18-C18</f>
        <v>3657.5800000000004</v>
      </c>
    </row>
    <row r="19" spans="1:6">
      <c r="A19" s="32"/>
      <c r="B19" s="86"/>
      <c r="C19" s="33"/>
      <c r="E19" s="33"/>
      <c r="F19" s="33"/>
    </row>
    <row r="20" spans="1:6">
      <c r="A20" s="32"/>
      <c r="B20" s="86"/>
      <c r="C20" s="33"/>
      <c r="E20" s="33"/>
      <c r="F20" s="33"/>
    </row>
    <row r="21" spans="1:6">
      <c r="A21" s="32"/>
      <c r="B21" s="86"/>
      <c r="C21" s="33"/>
      <c r="D21" s="32"/>
      <c r="E21" s="33"/>
      <c r="F21" s="33"/>
    </row>
    <row r="22" spans="1:6">
      <c r="A22" s="32"/>
      <c r="B22" s="86"/>
      <c r="C22" s="33"/>
      <c r="D22" s="32"/>
      <c r="E22" s="33"/>
      <c r="F22" s="33"/>
    </row>
    <row r="23" spans="1:6">
      <c r="A23" s="32"/>
      <c r="B23" s="86"/>
      <c r="C23" s="33"/>
      <c r="D23" s="32"/>
      <c r="E23" s="33"/>
      <c r="F23" s="33"/>
    </row>
    <row r="24" spans="1:6">
      <c r="A24" s="32"/>
      <c r="B24" s="32"/>
      <c r="C24" s="32"/>
      <c r="D24" s="32"/>
      <c r="E24" s="32"/>
      <c r="F24" s="32"/>
    </row>
    <row r="25" spans="1:6">
      <c r="A25" s="32"/>
      <c r="B25" s="32"/>
      <c r="C25" s="32"/>
      <c r="D25" s="32"/>
      <c r="E25" s="32"/>
      <c r="F25" s="32"/>
    </row>
    <row r="26" spans="1:6">
      <c r="A26" s="32"/>
      <c r="B26" s="32"/>
      <c r="C26" s="32"/>
      <c r="D26" s="32"/>
      <c r="E26" s="32"/>
      <c r="F26" s="32"/>
    </row>
    <row r="27" spans="1:6">
      <c r="A27" s="32"/>
      <c r="B27" s="32"/>
      <c r="C27" s="32"/>
      <c r="D27" s="32"/>
      <c r="E27" s="32"/>
      <c r="F27" s="32"/>
    </row>
    <row r="28" spans="1:6">
      <c r="A28" s="32"/>
      <c r="B28" s="32"/>
      <c r="C28" s="32"/>
      <c r="D28" s="32"/>
      <c r="E28" s="32"/>
      <c r="F28" s="32"/>
    </row>
    <row r="29" spans="1:6">
      <c r="A29" s="32"/>
      <c r="B29" s="32"/>
      <c r="C29" s="32"/>
      <c r="D29" s="32"/>
      <c r="E29" s="32"/>
      <c r="F29" s="32"/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theme="0" tint="-0.249977111117893"/>
    <pageSetUpPr fitToPage="1"/>
  </sheetPr>
  <dimension ref="A1:G92"/>
  <sheetViews>
    <sheetView showGridLines="0" view="pageBreakPreview" zoomScale="80" zoomScaleNormal="75" zoomScaleSheetLayoutView="80" zoomScalePageLayoutView="85" workbookViewId="0">
      <pane xSplit="2" ySplit="4" topLeftCell="C5" activePane="bottomRight" state="frozen"/>
      <selection activeCell="B2" sqref="B2"/>
      <selection pane="topRight" activeCell="B2" sqref="B2"/>
      <selection pane="bottomLeft" activeCell="B2" sqref="B2"/>
      <selection pane="bottomRight" activeCell="K16" sqref="K16"/>
    </sheetView>
  </sheetViews>
  <sheetFormatPr defaultColWidth="9.140625" defaultRowHeight="14.25" outlineLevelRow="1"/>
  <cols>
    <col min="1" max="1" width="3.7109375" style="32" bestFit="1" customWidth="1"/>
    <col min="2" max="2" width="48.7109375" style="32" customWidth="1"/>
    <col min="3" max="3" width="18" style="33" customWidth="1"/>
    <col min="4" max="4" width="17.42578125" style="33" customWidth="1"/>
    <col min="5" max="5" width="18.42578125" style="33" bestFit="1" customWidth="1"/>
    <col min="6" max="6" width="17.7109375" style="33" bestFit="1" customWidth="1"/>
    <col min="7" max="7" width="12.85546875" style="32" bestFit="1" customWidth="1"/>
    <col min="8" max="16384" width="9.140625" style="32"/>
  </cols>
  <sheetData>
    <row r="1" spans="1:7" ht="20.25">
      <c r="B1" s="612" t="s">
        <v>594</v>
      </c>
    </row>
    <row r="2" spans="1:7">
      <c r="B2" s="609" t="s">
        <v>597</v>
      </c>
    </row>
    <row r="3" spans="1:7" ht="15">
      <c r="B3" s="610" t="s">
        <v>598</v>
      </c>
    </row>
    <row r="4" spans="1:7" ht="15">
      <c r="B4" s="611" t="s">
        <v>599</v>
      </c>
      <c r="C4" s="49">
        <v>2012</v>
      </c>
      <c r="D4" s="49">
        <v>2013</v>
      </c>
      <c r="E4" s="49">
        <v>2014</v>
      </c>
      <c r="F4" s="49">
        <v>2015</v>
      </c>
      <c r="G4" s="121" t="s">
        <v>179</v>
      </c>
    </row>
    <row r="5" spans="1:7" ht="15">
      <c r="A5" s="590" t="s">
        <v>108</v>
      </c>
      <c r="B5" s="192" t="s">
        <v>107</v>
      </c>
      <c r="C5" s="201"/>
      <c r="D5" s="196"/>
      <c r="E5" s="196"/>
      <c r="F5" s="202"/>
      <c r="G5" s="203"/>
    </row>
    <row r="6" spans="1:7" ht="15" customHeight="1">
      <c r="A6" s="590"/>
      <c r="B6" s="68" t="s">
        <v>106</v>
      </c>
      <c r="C6" s="65">
        <v>1527</v>
      </c>
      <c r="D6" s="65">
        <v>1549</v>
      </c>
      <c r="E6" s="65">
        <v>1579</v>
      </c>
      <c r="F6" s="65">
        <v>1233</v>
      </c>
      <c r="G6" s="144">
        <v>1447</v>
      </c>
    </row>
    <row r="7" spans="1:7" ht="15" customHeight="1">
      <c r="A7" s="590"/>
      <c r="B7" s="68" t="s">
        <v>522</v>
      </c>
      <c r="C7" s="65">
        <v>247</v>
      </c>
      <c r="D7" s="65">
        <v>1105</v>
      </c>
      <c r="E7" s="65">
        <v>950</v>
      </c>
      <c r="F7" s="65">
        <v>1658</v>
      </c>
      <c r="G7" s="144">
        <v>1573</v>
      </c>
    </row>
    <row r="8" spans="1:7" ht="15" customHeight="1">
      <c r="A8" s="590"/>
      <c r="B8" s="68" t="s">
        <v>523</v>
      </c>
      <c r="C8" s="65">
        <v>3062</v>
      </c>
      <c r="D8" s="65">
        <v>2353</v>
      </c>
      <c r="E8" s="65">
        <v>972</v>
      </c>
      <c r="F8" s="65">
        <v>503</v>
      </c>
      <c r="G8" s="144">
        <v>330</v>
      </c>
    </row>
    <row r="9" spans="1:7" ht="15" customHeight="1">
      <c r="A9" s="590"/>
      <c r="B9" s="68" t="s">
        <v>524</v>
      </c>
      <c r="C9" s="65">
        <v>496</v>
      </c>
      <c r="D9" s="65">
        <v>272</v>
      </c>
      <c r="E9" s="65">
        <v>152</v>
      </c>
      <c r="F9" s="65">
        <v>97</v>
      </c>
      <c r="G9" s="144">
        <v>66</v>
      </c>
    </row>
    <row r="10" spans="1:7" ht="15" customHeight="1">
      <c r="A10" s="590"/>
      <c r="B10" s="68" t="s">
        <v>105</v>
      </c>
      <c r="C10" s="65">
        <v>1027</v>
      </c>
      <c r="D10" s="65">
        <v>603</v>
      </c>
      <c r="E10" s="65">
        <v>244</v>
      </c>
      <c r="F10" s="65">
        <v>122</v>
      </c>
      <c r="G10" s="144">
        <v>142</v>
      </c>
    </row>
    <row r="11" spans="1:7" ht="15" customHeight="1">
      <c r="A11" s="590"/>
      <c r="B11" s="68" t="s">
        <v>180</v>
      </c>
      <c r="C11" s="65">
        <v>135</v>
      </c>
      <c r="D11" s="65">
        <v>597</v>
      </c>
      <c r="E11" s="65">
        <v>373</v>
      </c>
      <c r="F11" s="65">
        <v>169</v>
      </c>
      <c r="G11" s="144">
        <v>16</v>
      </c>
    </row>
    <row r="12" spans="1:7" ht="15" customHeight="1">
      <c r="A12" s="590"/>
      <c r="B12" s="68" t="s">
        <v>104</v>
      </c>
      <c r="C12" s="65">
        <v>365</v>
      </c>
      <c r="D12" s="65">
        <v>469</v>
      </c>
      <c r="E12" s="65">
        <v>505</v>
      </c>
      <c r="F12" s="65">
        <v>375</v>
      </c>
      <c r="G12" s="144">
        <v>179</v>
      </c>
    </row>
    <row r="13" spans="1:7">
      <c r="A13" s="590"/>
      <c r="B13" s="68" t="s">
        <v>525</v>
      </c>
      <c r="C13" s="65">
        <v>197</v>
      </c>
      <c r="D13" s="65">
        <v>139</v>
      </c>
      <c r="E13" s="65">
        <v>73</v>
      </c>
      <c r="F13" s="65">
        <v>10</v>
      </c>
      <c r="G13" s="144">
        <v>5</v>
      </c>
    </row>
    <row r="14" spans="1:7">
      <c r="A14" s="590"/>
      <c r="B14" s="68" t="s">
        <v>568</v>
      </c>
      <c r="C14" s="65">
        <v>15</v>
      </c>
      <c r="D14" s="65">
        <v>14</v>
      </c>
      <c r="E14" s="65"/>
      <c r="F14" s="65"/>
      <c r="G14" s="144"/>
    </row>
    <row r="15" spans="1:7" ht="15" customHeight="1">
      <c r="A15" s="590"/>
      <c r="B15" s="235" t="s">
        <v>103</v>
      </c>
      <c r="C15" s="236">
        <f>SUM(C6:C14)</f>
        <v>7071</v>
      </c>
      <c r="D15" s="236">
        <f>SUM(D6:D14)</f>
        <v>7101</v>
      </c>
      <c r="E15" s="236">
        <f>SUM(E6:E13)</f>
        <v>4848</v>
      </c>
      <c r="F15" s="236">
        <f>SUM(F6:F13)</f>
        <v>4167</v>
      </c>
      <c r="G15" s="236">
        <f>SUM(G6:G13)</f>
        <v>3758</v>
      </c>
    </row>
    <row r="16" spans="1:7">
      <c r="A16" s="590"/>
      <c r="C16" s="65"/>
      <c r="D16" s="65"/>
      <c r="E16" s="65"/>
      <c r="F16" s="65"/>
    </row>
    <row r="17" spans="1:7" ht="15" customHeight="1">
      <c r="A17" s="590"/>
      <c r="B17" s="192" t="s">
        <v>101</v>
      </c>
      <c r="C17" s="204"/>
      <c r="D17" s="204"/>
      <c r="E17" s="204"/>
      <c r="F17" s="204"/>
      <c r="G17" s="203"/>
    </row>
    <row r="18" spans="1:7" ht="15" customHeight="1">
      <c r="A18" s="590"/>
      <c r="B18" s="68" t="s">
        <v>102</v>
      </c>
      <c r="C18" s="65">
        <v>3286</v>
      </c>
      <c r="D18" s="65">
        <v>3448</v>
      </c>
      <c r="E18" s="65">
        <v>1439</v>
      </c>
      <c r="F18" s="65">
        <v>1375</v>
      </c>
      <c r="G18" s="144">
        <v>1166</v>
      </c>
    </row>
    <row r="19" spans="1:7" ht="15" customHeight="1">
      <c r="A19" s="590"/>
      <c r="B19" s="68" t="s">
        <v>101</v>
      </c>
      <c r="C19" s="65">
        <v>2733</v>
      </c>
      <c r="D19" s="65">
        <v>2395</v>
      </c>
      <c r="E19" s="65">
        <v>1136</v>
      </c>
      <c r="F19" s="65">
        <v>556</v>
      </c>
      <c r="G19" s="144">
        <v>468</v>
      </c>
    </row>
    <row r="20" spans="1:7" ht="15" customHeight="1">
      <c r="A20" s="590"/>
      <c r="C20" s="65"/>
      <c r="D20" s="65"/>
      <c r="E20" s="65"/>
      <c r="F20" s="65"/>
    </row>
    <row r="21" spans="1:7" ht="15">
      <c r="A21" s="590"/>
      <c r="B21" s="235" t="s">
        <v>100</v>
      </c>
      <c r="C21" s="236">
        <f>SUM(C18:C19)</f>
        <v>6019</v>
      </c>
      <c r="D21" s="236">
        <f>SUM(D18:D19)</f>
        <v>5843</v>
      </c>
      <c r="E21" s="236">
        <f>SUM(E18:E19)</f>
        <v>2575</v>
      </c>
      <c r="F21" s="236">
        <f>SUM(F18:F19)</f>
        <v>1931</v>
      </c>
      <c r="G21" s="236">
        <f>SUM(G18:G19)</f>
        <v>1634</v>
      </c>
    </row>
    <row r="22" spans="1:7" ht="15" customHeight="1">
      <c r="A22" s="590"/>
      <c r="C22" s="65"/>
      <c r="D22" s="65"/>
      <c r="E22" s="65"/>
      <c r="F22" s="65"/>
    </row>
    <row r="23" spans="1:7" ht="15">
      <c r="A23" s="590"/>
      <c r="B23" s="192" t="s">
        <v>99</v>
      </c>
      <c r="C23" s="204"/>
      <c r="D23" s="204"/>
      <c r="E23" s="204"/>
      <c r="F23" s="204"/>
      <c r="G23" s="203"/>
    </row>
    <row r="24" spans="1:7" ht="15" customHeight="1">
      <c r="A24" s="590"/>
      <c r="B24" s="68" t="s">
        <v>526</v>
      </c>
      <c r="C24" s="65">
        <v>337</v>
      </c>
      <c r="D24" s="65">
        <v>221</v>
      </c>
      <c r="E24" s="65">
        <v>129</v>
      </c>
      <c r="F24" s="65">
        <v>316</v>
      </c>
      <c r="G24" s="144">
        <v>277</v>
      </c>
    </row>
    <row r="25" spans="1:7" ht="15" customHeight="1">
      <c r="A25" s="590"/>
      <c r="B25" s="68" t="s">
        <v>527</v>
      </c>
      <c r="C25" s="65"/>
      <c r="D25" s="65"/>
      <c r="E25" s="65"/>
      <c r="F25" s="65">
        <v>59</v>
      </c>
      <c r="G25" s="144">
        <v>56</v>
      </c>
    </row>
    <row r="26" spans="1:7" ht="15" customHeight="1">
      <c r="A26" s="590"/>
      <c r="B26" s="68" t="s">
        <v>528</v>
      </c>
      <c r="C26" s="65">
        <v>304</v>
      </c>
      <c r="D26" s="65"/>
      <c r="E26" s="65"/>
      <c r="F26" s="65">
        <v>76</v>
      </c>
      <c r="G26" s="144">
        <v>97</v>
      </c>
    </row>
    <row r="27" spans="1:7" ht="15" hidden="1" customHeight="1">
      <c r="A27" s="590"/>
      <c r="B27" s="68"/>
      <c r="C27" s="65"/>
      <c r="D27" s="65"/>
      <c r="E27" s="65"/>
      <c r="F27" s="65"/>
      <c r="G27" s="144"/>
    </row>
    <row r="28" spans="1:7" ht="15" hidden="1" customHeight="1">
      <c r="A28" s="590"/>
      <c r="B28" s="68"/>
      <c r="C28" s="65"/>
      <c r="D28" s="65"/>
      <c r="E28" s="65"/>
      <c r="F28" s="65"/>
      <c r="G28" s="144"/>
    </row>
    <row r="29" spans="1:7" ht="15" hidden="1" customHeight="1">
      <c r="A29" s="590"/>
      <c r="B29" s="68"/>
      <c r="C29" s="65"/>
      <c r="D29" s="65"/>
      <c r="E29" s="65"/>
      <c r="F29" s="65"/>
      <c r="G29" s="144"/>
    </row>
    <row r="30" spans="1:7" ht="15" hidden="1" customHeight="1">
      <c r="A30" s="590"/>
      <c r="B30" s="68"/>
      <c r="C30" s="65"/>
      <c r="D30" s="65"/>
      <c r="E30" s="65"/>
      <c r="F30" s="65"/>
      <c r="G30" s="144"/>
    </row>
    <row r="31" spans="1:7" ht="15">
      <c r="A31" s="590"/>
      <c r="B31" s="235" t="s">
        <v>98</v>
      </c>
      <c r="C31" s="236">
        <f>SUM(C24:C30)</f>
        <v>641</v>
      </c>
      <c r="D31" s="236">
        <f>SUM(D24:D30)</f>
        <v>221</v>
      </c>
      <c r="E31" s="236">
        <f>SUM(E24:E30)</f>
        <v>129</v>
      </c>
      <c r="F31" s="236">
        <f>SUM(F24:F30)</f>
        <v>451</v>
      </c>
      <c r="G31" s="236">
        <f>SUM(G24:G30)</f>
        <v>430</v>
      </c>
    </row>
    <row r="32" spans="1:7" ht="15">
      <c r="A32" s="196"/>
      <c r="B32" s="224" t="s">
        <v>97</v>
      </c>
      <c r="C32" s="225">
        <f>SUM(C15,C21,C31)</f>
        <v>13731</v>
      </c>
      <c r="D32" s="225">
        <f>SUM(D15,D21,D31)</f>
        <v>13165</v>
      </c>
      <c r="E32" s="225">
        <f>SUM(E15,E21,E31)</f>
        <v>7552</v>
      </c>
      <c r="F32" s="225">
        <f>SUM(F15,F21,F31)</f>
        <v>6549</v>
      </c>
      <c r="G32" s="225">
        <f>SUM(G15,G21,G31)</f>
        <v>5822</v>
      </c>
    </row>
    <row r="33" spans="1:7" ht="15" customHeight="1">
      <c r="A33" s="66"/>
      <c r="C33" s="65"/>
      <c r="D33" s="65"/>
      <c r="E33" s="65"/>
      <c r="F33" s="65"/>
    </row>
    <row r="34" spans="1:7" ht="15" customHeight="1">
      <c r="A34" s="590" t="s">
        <v>96</v>
      </c>
      <c r="B34" s="192" t="s">
        <v>95</v>
      </c>
      <c r="C34" s="204"/>
      <c r="D34" s="204"/>
      <c r="E34" s="204"/>
      <c r="F34" s="204"/>
      <c r="G34" s="203"/>
    </row>
    <row r="35" spans="1:7" ht="15" customHeight="1">
      <c r="A35" s="590"/>
      <c r="B35" s="32" t="s">
        <v>261</v>
      </c>
      <c r="C35" s="65">
        <v>744</v>
      </c>
      <c r="D35" s="65">
        <v>1064</v>
      </c>
      <c r="E35" s="65">
        <v>474</v>
      </c>
      <c r="F35" s="65">
        <v>235</v>
      </c>
      <c r="G35" s="144">
        <v>195</v>
      </c>
    </row>
    <row r="36" spans="1:7" ht="15" customHeight="1">
      <c r="A36" s="590"/>
      <c r="B36" s="32" t="s">
        <v>529</v>
      </c>
      <c r="C36" s="65">
        <v>2382</v>
      </c>
      <c r="D36" s="65">
        <v>1842</v>
      </c>
      <c r="E36" s="65">
        <v>1214</v>
      </c>
      <c r="F36" s="65">
        <v>658</v>
      </c>
      <c r="G36" s="144">
        <v>389</v>
      </c>
    </row>
    <row r="37" spans="1:7" ht="15" customHeight="1">
      <c r="A37" s="590"/>
      <c r="B37" s="32" t="s">
        <v>530</v>
      </c>
      <c r="C37" s="65">
        <v>263</v>
      </c>
      <c r="D37" s="65">
        <v>542</v>
      </c>
      <c r="E37" s="65">
        <v>580</v>
      </c>
      <c r="F37" s="65">
        <v>470</v>
      </c>
      <c r="G37" s="144">
        <v>366</v>
      </c>
    </row>
    <row r="38" spans="1:7" ht="15" hidden="1" customHeight="1">
      <c r="A38" s="590"/>
      <c r="C38" s="65"/>
      <c r="D38" s="65"/>
      <c r="E38" s="65"/>
      <c r="F38" s="65"/>
      <c r="G38" s="144"/>
    </row>
    <row r="39" spans="1:7" ht="15" hidden="1" customHeight="1">
      <c r="A39" s="590"/>
      <c r="C39" s="65"/>
      <c r="D39" s="65"/>
      <c r="E39" s="65"/>
      <c r="F39" s="65"/>
      <c r="G39" s="144"/>
    </row>
    <row r="40" spans="1:7" ht="15" hidden="1" customHeight="1">
      <c r="A40" s="590"/>
      <c r="C40" s="65"/>
      <c r="D40" s="65"/>
      <c r="E40" s="65"/>
      <c r="F40" s="65"/>
      <c r="G40" s="144"/>
    </row>
    <row r="41" spans="1:7" ht="15" hidden="1" customHeight="1">
      <c r="A41" s="590"/>
      <c r="C41" s="65"/>
      <c r="D41" s="65"/>
      <c r="E41" s="65"/>
      <c r="F41" s="65"/>
      <c r="G41" s="144"/>
    </row>
    <row r="42" spans="1:7" ht="15" hidden="1" customHeight="1">
      <c r="A42" s="590"/>
      <c r="C42" s="65"/>
      <c r="D42" s="65"/>
      <c r="E42" s="65"/>
      <c r="F42" s="65"/>
      <c r="G42" s="144"/>
    </row>
    <row r="43" spans="1:7" ht="15" hidden="1" customHeight="1">
      <c r="A43" s="590"/>
      <c r="C43" s="143"/>
      <c r="D43" s="143"/>
      <c r="E43" s="143"/>
      <c r="F43" s="143"/>
      <c r="G43" s="144"/>
    </row>
    <row r="44" spans="1:7" ht="15" customHeight="1">
      <c r="A44" s="590"/>
      <c r="C44" s="143"/>
      <c r="D44" s="143"/>
      <c r="E44" s="143"/>
      <c r="F44" s="143"/>
      <c r="G44" s="144"/>
    </row>
    <row r="45" spans="1:7" ht="15" customHeight="1">
      <c r="A45" s="590"/>
      <c r="B45" s="235" t="s">
        <v>94</v>
      </c>
      <c r="C45" s="236">
        <f>SUM(C35:C43)</f>
        <v>3389</v>
      </c>
      <c r="D45" s="236">
        <f>SUM(D35:D43)</f>
        <v>3448</v>
      </c>
      <c r="E45" s="236">
        <f>SUM(E35:E43)</f>
        <v>2268</v>
      </c>
      <c r="F45" s="236">
        <f>SUM(F35:F43)</f>
        <v>1363</v>
      </c>
      <c r="G45" s="236">
        <f>SUM(G35:G43)</f>
        <v>950</v>
      </c>
    </row>
    <row r="46" spans="1:7" ht="15" customHeight="1">
      <c r="A46" s="590"/>
      <c r="C46" s="65"/>
      <c r="D46" s="65"/>
      <c r="E46" s="65"/>
      <c r="F46" s="65"/>
    </row>
    <row r="47" spans="1:7" ht="15">
      <c r="A47" s="590"/>
      <c r="B47" s="192" t="s">
        <v>93</v>
      </c>
      <c r="C47" s="204"/>
      <c r="D47" s="204"/>
      <c r="E47" s="204"/>
      <c r="F47" s="204"/>
      <c r="G47" s="203"/>
    </row>
    <row r="48" spans="1:7" ht="15" customHeight="1">
      <c r="A48" s="590"/>
      <c r="B48" s="32" t="s">
        <v>93</v>
      </c>
      <c r="C48" s="65"/>
      <c r="D48" s="65"/>
      <c r="E48" s="65">
        <v>1627</v>
      </c>
      <c r="F48" s="65">
        <v>1707</v>
      </c>
      <c r="G48" s="144">
        <v>1322</v>
      </c>
    </row>
    <row r="49" spans="1:7">
      <c r="A49" s="590"/>
      <c r="B49" s="32" t="s">
        <v>90</v>
      </c>
      <c r="C49" s="65">
        <v>232</v>
      </c>
      <c r="D49" s="65">
        <v>245</v>
      </c>
      <c r="E49" s="65">
        <v>32</v>
      </c>
      <c r="F49" s="65">
        <v>48</v>
      </c>
      <c r="G49" s="32">
        <v>13</v>
      </c>
    </row>
    <row r="50" spans="1:7" ht="15" customHeight="1">
      <c r="A50" s="590"/>
      <c r="B50" s="32" t="s">
        <v>569</v>
      </c>
      <c r="C50" s="65">
        <v>10</v>
      </c>
      <c r="D50" s="65">
        <v>12</v>
      </c>
      <c r="E50" s="65"/>
      <c r="F50" s="65"/>
      <c r="G50" s="144"/>
    </row>
    <row r="51" spans="1:7" ht="15" hidden="1" customHeight="1">
      <c r="A51" s="590"/>
      <c r="C51" s="65"/>
      <c r="D51" s="65"/>
      <c r="E51" s="65"/>
      <c r="F51" s="65"/>
      <c r="G51" s="144"/>
    </row>
    <row r="52" spans="1:7" ht="15" hidden="1" customHeight="1">
      <c r="A52" s="590"/>
      <c r="C52" s="65"/>
      <c r="D52" s="65"/>
      <c r="E52" s="65"/>
      <c r="F52" s="65"/>
      <c r="G52" s="144"/>
    </row>
    <row r="53" spans="1:7" ht="15" hidden="1" customHeight="1">
      <c r="A53" s="590"/>
      <c r="C53" s="65"/>
      <c r="D53" s="65"/>
      <c r="E53" s="65"/>
      <c r="F53" s="65"/>
      <c r="G53" s="144"/>
    </row>
    <row r="54" spans="1:7" ht="15" hidden="1" customHeight="1">
      <c r="A54" s="590"/>
      <c r="C54" s="143"/>
      <c r="D54" s="143"/>
      <c r="E54" s="143"/>
      <c r="F54" s="143"/>
      <c r="G54" s="144"/>
    </row>
    <row r="55" spans="1:7" ht="15" hidden="1" customHeight="1">
      <c r="A55" s="590"/>
      <c r="C55" s="143"/>
      <c r="D55" s="143"/>
      <c r="E55" s="143"/>
      <c r="F55" s="143"/>
      <c r="G55" s="144"/>
    </row>
    <row r="56" spans="1:7" ht="15" customHeight="1">
      <c r="A56" s="590"/>
      <c r="B56" s="235" t="s">
        <v>89</v>
      </c>
      <c r="C56" s="236">
        <f>SUM(C48:C54)</f>
        <v>242</v>
      </c>
      <c r="D56" s="236">
        <f>SUM(D48:D54)</f>
        <v>257</v>
      </c>
      <c r="E56" s="236">
        <f>SUM(E48:E54)</f>
        <v>1659</v>
      </c>
      <c r="F56" s="236">
        <f>SUM(F48:F54)</f>
        <v>1755</v>
      </c>
      <c r="G56" s="236">
        <f>SUM(G48:G54)</f>
        <v>1335</v>
      </c>
    </row>
    <row r="57" spans="1:7" ht="15">
      <c r="A57" s="590"/>
      <c r="B57" s="224" t="s">
        <v>88</v>
      </c>
      <c r="C57" s="225">
        <f>SUM(C45,C56)</f>
        <v>3631</v>
      </c>
      <c r="D57" s="225">
        <f>SUM(D45,D56)</f>
        <v>3705</v>
      </c>
      <c r="E57" s="225">
        <f>SUM(E45,E56)</f>
        <v>3927</v>
      </c>
      <c r="F57" s="225">
        <f>SUM(F45,F56)</f>
        <v>3118</v>
      </c>
      <c r="G57" s="225">
        <f>SUM(G45,G56)</f>
        <v>2285</v>
      </c>
    </row>
    <row r="58" spans="1:7">
      <c r="A58" s="66"/>
      <c r="C58" s="65"/>
      <c r="D58" s="65"/>
      <c r="E58" s="65"/>
      <c r="F58" s="65"/>
    </row>
    <row r="59" spans="1:7" ht="15" customHeight="1">
      <c r="A59" s="590" t="s">
        <v>34</v>
      </c>
      <c r="B59" s="200"/>
      <c r="C59" s="204"/>
      <c r="D59" s="204"/>
      <c r="E59" s="204"/>
      <c r="F59" s="204"/>
      <c r="G59" s="203"/>
    </row>
    <row r="60" spans="1:7" ht="15" customHeight="1">
      <c r="A60" s="590"/>
      <c r="B60" s="32" t="s">
        <v>531</v>
      </c>
      <c r="C60" s="65">
        <v>2446</v>
      </c>
      <c r="D60" s="65">
        <v>2431</v>
      </c>
      <c r="E60" s="65">
        <v>2418</v>
      </c>
      <c r="F60" s="65">
        <v>2444</v>
      </c>
      <c r="G60" s="32">
        <v>2446</v>
      </c>
    </row>
    <row r="61" spans="1:7" ht="14.25" customHeight="1">
      <c r="A61" s="590"/>
      <c r="B61" s="32" t="s">
        <v>87</v>
      </c>
      <c r="C61" s="65">
        <v>7913</v>
      </c>
      <c r="D61" s="65">
        <v>7267</v>
      </c>
      <c r="E61" s="65">
        <v>1394</v>
      </c>
      <c r="F61" s="65">
        <v>1010</v>
      </c>
      <c r="G61" s="32">
        <v>1109</v>
      </c>
    </row>
    <row r="62" spans="1:7" ht="15" customHeight="1">
      <c r="A62" s="590"/>
      <c r="B62" s="32" t="s">
        <v>560</v>
      </c>
      <c r="C62" s="65">
        <v>-299</v>
      </c>
      <c r="D62" s="65">
        <v>-234</v>
      </c>
      <c r="E62" s="65">
        <v>-179</v>
      </c>
      <c r="F62" s="65"/>
    </row>
    <row r="63" spans="1:7" ht="15" customHeight="1">
      <c r="A63" s="590"/>
      <c r="B63" s="61" t="s">
        <v>86</v>
      </c>
      <c r="C63" s="65">
        <v>40</v>
      </c>
      <c r="D63" s="65">
        <v>-4</v>
      </c>
      <c r="E63" s="65">
        <v>-8</v>
      </c>
      <c r="F63" s="65">
        <v>-23</v>
      </c>
      <c r="G63" s="32">
        <v>-18</v>
      </c>
    </row>
    <row r="64" spans="1:7" ht="15" customHeight="1">
      <c r="A64" s="590"/>
      <c r="B64" s="67" t="s">
        <v>85</v>
      </c>
      <c r="C64" s="65"/>
      <c r="D64" s="65"/>
      <c r="E64" s="65"/>
      <c r="F64" s="65"/>
    </row>
    <row r="65" spans="1:7" ht="15" customHeight="1">
      <c r="A65" s="590"/>
      <c r="B65" s="67" t="s">
        <v>84</v>
      </c>
      <c r="C65" s="65">
        <v>0</v>
      </c>
      <c r="D65" s="65">
        <v>0</v>
      </c>
      <c r="E65" s="65"/>
      <c r="F65" s="65"/>
    </row>
    <row r="66" spans="1:7" ht="15" customHeight="1">
      <c r="A66" s="590"/>
      <c r="B66" s="67" t="s">
        <v>83</v>
      </c>
      <c r="C66" s="65">
        <v>0</v>
      </c>
      <c r="D66" s="65">
        <v>0</v>
      </c>
      <c r="E66" s="65"/>
      <c r="F66" s="65"/>
    </row>
    <row r="67" spans="1:7" ht="15" customHeight="1">
      <c r="A67" s="590"/>
      <c r="B67" s="67" t="s">
        <v>82</v>
      </c>
      <c r="C67" s="65">
        <v>0</v>
      </c>
      <c r="D67" s="65">
        <v>0</v>
      </c>
      <c r="E67" s="65"/>
      <c r="F67" s="65"/>
    </row>
    <row r="68" spans="1:7" ht="15" customHeight="1">
      <c r="A68" s="590"/>
      <c r="B68" s="235" t="s">
        <v>81</v>
      </c>
      <c r="C68" s="236">
        <f>SUM(C60:C67)</f>
        <v>10100</v>
      </c>
      <c r="D68" s="236">
        <f>SUM(D60:D67)</f>
        <v>9460</v>
      </c>
      <c r="E68" s="236">
        <f>SUM(E60:E67)</f>
        <v>3625</v>
      </c>
      <c r="F68" s="236">
        <f>SUM(F60:F67)</f>
        <v>3431</v>
      </c>
      <c r="G68" s="236">
        <f>SUM(G60:G67)</f>
        <v>3537</v>
      </c>
    </row>
    <row r="69" spans="1:7" ht="15" customHeight="1">
      <c r="A69" s="66"/>
      <c r="B69" s="32" t="s">
        <v>80</v>
      </c>
      <c r="C69" s="65"/>
      <c r="D69" s="65"/>
      <c r="E69" s="65"/>
      <c r="F69" s="65"/>
    </row>
    <row r="70" spans="1:7" ht="15" customHeight="1">
      <c r="A70" s="223"/>
      <c r="B70" s="224" t="s">
        <v>79</v>
      </c>
      <c r="C70" s="225">
        <f>SUM(C68:C69)</f>
        <v>10100</v>
      </c>
      <c r="D70" s="225">
        <f>SUM(D68:D69)</f>
        <v>9460</v>
      </c>
      <c r="E70" s="225">
        <f>SUM(E68:E69)</f>
        <v>3625</v>
      </c>
      <c r="F70" s="225">
        <f>SUM(F68:F69)</f>
        <v>3431</v>
      </c>
      <c r="G70" s="225">
        <f>SUM(G68:G69)</f>
        <v>3537</v>
      </c>
    </row>
    <row r="71" spans="1:7" ht="15">
      <c r="A71" s="223"/>
      <c r="B71" s="224" t="s">
        <v>78</v>
      </c>
      <c r="C71" s="225">
        <f>SUM(C57,C70)</f>
        <v>13731</v>
      </c>
      <c r="D71" s="225">
        <f>SUM(D57,D70)</f>
        <v>13165</v>
      </c>
      <c r="E71" s="225">
        <f>SUM(E57,E70)</f>
        <v>7552</v>
      </c>
      <c r="F71" s="225">
        <f>SUM(F57,F70)</f>
        <v>6549</v>
      </c>
      <c r="G71" s="225">
        <f>(G57+G70)</f>
        <v>5822</v>
      </c>
    </row>
    <row r="72" spans="1:7" ht="15" customHeight="1">
      <c r="A72" s="62"/>
      <c r="B72" s="64" t="s">
        <v>77</v>
      </c>
      <c r="C72" s="63">
        <f>C32-C71</f>
        <v>0</v>
      </c>
      <c r="D72" s="63">
        <f>D32-D71</f>
        <v>0</v>
      </c>
      <c r="E72" s="63">
        <f>E32-E71</f>
        <v>0</v>
      </c>
      <c r="F72" s="63">
        <f>F32-F71</f>
        <v>0</v>
      </c>
    </row>
    <row r="73" spans="1:7">
      <c r="A73" s="62"/>
    </row>
    <row r="74" spans="1:7">
      <c r="A74" s="62"/>
      <c r="B74" s="35"/>
    </row>
    <row r="75" spans="1:7" ht="15" outlineLevel="1">
      <c r="B75" s="50"/>
      <c r="C75" s="49">
        <v>2010</v>
      </c>
      <c r="D75" s="49">
        <v>2011</v>
      </c>
      <c r="E75" s="49">
        <v>2012</v>
      </c>
      <c r="F75" s="49">
        <v>2013</v>
      </c>
      <c r="G75" s="135" t="s">
        <v>179</v>
      </c>
    </row>
    <row r="76" spans="1:7">
      <c r="A76" s="237"/>
      <c r="B76" s="237"/>
      <c r="C76" s="238"/>
      <c r="D76" s="238"/>
      <c r="E76" s="238"/>
      <c r="F76" s="238"/>
      <c r="G76" s="238"/>
    </row>
    <row r="77" spans="1:7" ht="15">
      <c r="B77" s="61" t="s">
        <v>76</v>
      </c>
    </row>
    <row r="78" spans="1:7">
      <c r="B78" s="32" t="s">
        <v>75</v>
      </c>
      <c r="C78" s="60">
        <f>C15/C45</f>
        <v>2.0864561817645324</v>
      </c>
      <c r="D78" s="60">
        <f>D15/D45</f>
        <v>2.0594547563805103</v>
      </c>
      <c r="E78" s="60">
        <f>E15/E45</f>
        <v>2.1375661375661377</v>
      </c>
      <c r="F78" s="60">
        <f>F15/F45</f>
        <v>3.0572267057960381</v>
      </c>
      <c r="G78" s="60">
        <f>G15/G45</f>
        <v>3.9557894736842107</v>
      </c>
    </row>
    <row r="79" spans="1:7">
      <c r="A79" s="68"/>
      <c r="B79" s="32" t="s">
        <v>74</v>
      </c>
      <c r="C79" s="60">
        <f>(C15-C10)/C45</f>
        <v>1.7834169371496016</v>
      </c>
      <c r="D79" s="60">
        <f>(D15-D10)/D45</f>
        <v>1.8845707656612529</v>
      </c>
      <c r="E79" s="60">
        <f>(E15-E10)/E45</f>
        <v>2.0299823633156966</v>
      </c>
      <c r="F79" s="60">
        <f>(F15-F10)/F45</f>
        <v>2.9677182685253118</v>
      </c>
      <c r="G79" s="60">
        <f>(G15-G10)/G45</f>
        <v>3.8063157894736843</v>
      </c>
    </row>
    <row r="80" spans="1:7">
      <c r="B80" s="32" t="s">
        <v>73</v>
      </c>
      <c r="C80" s="60">
        <f>C6/C15</f>
        <v>0.21595248196860417</v>
      </c>
      <c r="D80" s="60">
        <f>D6/D15</f>
        <v>0.2181382903816364</v>
      </c>
      <c r="E80" s="60">
        <f>E6/E15</f>
        <v>0.32570132013201319</v>
      </c>
      <c r="F80" s="60">
        <f>F6/F15</f>
        <v>0.29589632829373652</v>
      </c>
      <c r="G80" s="60">
        <f>G6/G15</f>
        <v>0.38504523682810005</v>
      </c>
    </row>
    <row r="81" spans="1:7">
      <c r="A81" s="237"/>
      <c r="B81" s="237"/>
      <c r="C81" s="238"/>
      <c r="D81" s="238"/>
      <c r="E81" s="238"/>
      <c r="F81" s="238"/>
      <c r="G81" s="238"/>
    </row>
    <row r="82" spans="1:7" ht="15">
      <c r="B82" s="59" t="s">
        <v>72</v>
      </c>
      <c r="C82" s="58">
        <f>'Change in NWC'!C19</f>
        <v>1461</v>
      </c>
      <c r="D82" s="58">
        <f>'Change in NWC'!D19</f>
        <v>1266</v>
      </c>
      <c r="E82" s="58">
        <f>'Change in NWC'!E19</f>
        <v>615</v>
      </c>
      <c r="F82" s="58">
        <f>'Change in NWC'!F19</f>
        <v>206</v>
      </c>
      <c r="G82" s="58">
        <f>'Change in NWC'!G19</f>
        <v>-24</v>
      </c>
    </row>
    <row r="83" spans="1:7">
      <c r="B83" s="57" t="s">
        <v>71</v>
      </c>
      <c r="C83" s="56">
        <f>C82/'Income Statement'!B8</f>
        <v>7.9303045106660155E-2</v>
      </c>
      <c r="D83" s="56">
        <f>D82/'Income Statement'!C8</f>
        <v>0.11433215930642103</v>
      </c>
      <c r="E83" s="56">
        <f>E82/'Income Statement'!D8</f>
        <v>9.0268604139145753E-2</v>
      </c>
      <c r="F83" s="56">
        <f>F82/'Income Statement'!E8</f>
        <v>6.1769115442278859E-2</v>
      </c>
      <c r="G83" s="56">
        <f>G82/'Income Statement'!F8</f>
        <v>-9.22722029988466E-3</v>
      </c>
    </row>
    <row r="84" spans="1:7">
      <c r="A84" s="68"/>
      <c r="B84" s="54" t="s">
        <v>70</v>
      </c>
      <c r="C84" s="55">
        <f>'Change in NWC'!C22</f>
        <v>0</v>
      </c>
      <c r="D84" s="55">
        <f>D82-C82</f>
        <v>-195</v>
      </c>
      <c r="E84" s="55">
        <f>E82-D82</f>
        <v>-651</v>
      </c>
      <c r="F84" s="55">
        <f>F82-E82</f>
        <v>-409</v>
      </c>
      <c r="G84" s="55">
        <f>G82-F82</f>
        <v>-230</v>
      </c>
    </row>
    <row r="85" spans="1:7">
      <c r="B85" s="32" t="s">
        <v>69</v>
      </c>
      <c r="C85" s="53">
        <f>C11/'Income Statement'!B8*365</f>
        <v>2.6746458231558377</v>
      </c>
      <c r="D85" s="53">
        <f>D11/'Income Statement'!C8*365</f>
        <v>19.678948794364672</v>
      </c>
      <c r="E85" s="53">
        <f>E11/'Income Statement'!D8*365</f>
        <v>19.983120504917071</v>
      </c>
      <c r="F85" s="53">
        <f>F11/'Income Statement'!E8*365</f>
        <v>18.496251874062967</v>
      </c>
      <c r="G85" s="53">
        <f>G11/'Income Statement'!F8*365</f>
        <v>2.2452902729719337</v>
      </c>
    </row>
    <row r="86" spans="1:7">
      <c r="B86" s="32" t="s">
        <v>68</v>
      </c>
      <c r="C86" s="53">
        <f>C10/'Income Statement'!B9*365</f>
        <v>31.63867319378798</v>
      </c>
      <c r="D86" s="53">
        <f>D10/'Income Statement'!C9*365</f>
        <v>28.812017279748659</v>
      </c>
      <c r="E86" s="53">
        <f>E10/'Income Statement'!D9*365</f>
        <v>12.990081680280046</v>
      </c>
      <c r="F86" s="53">
        <f>F10/'Income Statement'!E9*365</f>
        <v>25.725014442518773</v>
      </c>
      <c r="G86" s="53">
        <f>G10/'Income Statement'!F9*365</f>
        <v>37.612481857764877</v>
      </c>
    </row>
    <row r="87" spans="1:7">
      <c r="A87" s="54"/>
      <c r="B87" s="32" t="s">
        <v>67</v>
      </c>
      <c r="C87" s="53">
        <f>'Income Statement'!B9/'Balance Sheet'!C10</f>
        <v>11.536514118792599</v>
      </c>
      <c r="D87" s="53">
        <f>'Income Statement'!C9/'Balance Sheet'!D10</f>
        <v>12.66832504145937</v>
      </c>
      <c r="E87" s="53">
        <f>'Income Statement'!D9/'Balance Sheet'!E10</f>
        <v>28.098360655737704</v>
      </c>
      <c r="F87" s="53">
        <f>'Income Statement'!E9/'Balance Sheet'!F10</f>
        <v>14.188524590163935</v>
      </c>
      <c r="G87" s="145">
        <f>'Income Statement'!F9/'Balance Sheet'!G10</f>
        <v>9.704225352112676</v>
      </c>
    </row>
    <row r="88" spans="1:7">
      <c r="B88" s="32" t="s">
        <v>66</v>
      </c>
      <c r="C88" s="53">
        <f>C37/'Income Statement'!B9*365</f>
        <v>8.1022113436866992</v>
      </c>
      <c r="D88" s="53">
        <f>D37/'Income Statement'!C9*365</f>
        <v>25.897368765545227</v>
      </c>
      <c r="E88" s="53">
        <f>E37/'Income Statement'!D9*365</f>
        <v>30.878063010501748</v>
      </c>
      <c r="F88" s="53">
        <f>F37/'Income Statement'!E9*365</f>
        <v>99.104563835932993</v>
      </c>
      <c r="G88" s="53">
        <f>G37/'Income Statement'!F9*365</f>
        <v>96.944847605224965</v>
      </c>
    </row>
    <row r="89" spans="1:7">
      <c r="A89" s="237"/>
      <c r="B89" s="51"/>
      <c r="C89" s="52"/>
      <c r="D89" s="52"/>
      <c r="E89" s="52"/>
      <c r="F89" s="52"/>
      <c r="G89" s="52"/>
    </row>
    <row r="92" spans="1:7">
      <c r="A92" s="68"/>
    </row>
  </sheetData>
  <mergeCells count="3">
    <mergeCell ref="A5:A31"/>
    <mergeCell ref="A34:A57"/>
    <mergeCell ref="A59:A68"/>
  </mergeCells>
  <conditionalFormatting sqref="C79:G79">
    <cfRule type="cellIs" dxfId="0" priority="1" operator="lessThanOr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rowBreaks count="1" manualBreakCount="1">
    <brk id="77" max="6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theme="0" tint="-0.249977111117893"/>
    <pageSetUpPr fitToPage="1"/>
  </sheetPr>
  <dimension ref="A1:M69"/>
  <sheetViews>
    <sheetView showGridLines="0" view="pageBreakPreview" zoomScale="60" zoomScaleNormal="85" zoomScalePageLayoutView="85" workbookViewId="0">
      <pane xSplit="2" ySplit="5" topLeftCell="C6" activePane="bottomRight" state="frozen"/>
      <selection activeCell="B2" sqref="B2"/>
      <selection pane="topRight" activeCell="B2" sqref="B2"/>
      <selection pane="bottomLeft" activeCell="B2" sqref="B2"/>
      <selection pane="bottomRight" activeCell="B9" sqref="B9"/>
    </sheetView>
  </sheetViews>
  <sheetFormatPr defaultColWidth="11.42578125" defaultRowHeight="14.25" outlineLevelCol="1"/>
  <cols>
    <col min="1" max="1" width="7" style="32" customWidth="1"/>
    <col min="2" max="2" width="69" style="32" customWidth="1"/>
    <col min="3" max="6" width="13.42578125" style="32" bestFit="1" customWidth="1"/>
    <col min="7" max="8" width="11.42578125" style="32"/>
    <col min="9" max="10" width="11.42578125" style="32" customWidth="1" outlineLevel="1"/>
    <col min="11" max="16384" width="11.42578125" style="32"/>
  </cols>
  <sheetData>
    <row r="1" spans="1:10" ht="15.75">
      <c r="B1" s="615" t="s">
        <v>600</v>
      </c>
    </row>
    <row r="2" spans="1:10">
      <c r="B2" s="616"/>
    </row>
    <row r="3" spans="1:10">
      <c r="B3" s="618" t="s">
        <v>597</v>
      </c>
    </row>
    <row r="4" spans="1:10">
      <c r="B4" s="619" t="s">
        <v>601</v>
      </c>
    </row>
    <row r="5" spans="1:10" ht="15">
      <c r="B5" s="617" t="s">
        <v>596</v>
      </c>
      <c r="C5" s="49">
        <v>2012</v>
      </c>
      <c r="D5" s="49">
        <v>2013</v>
      </c>
      <c r="E5" s="49">
        <v>2014</v>
      </c>
      <c r="F5" s="49">
        <v>2015</v>
      </c>
      <c r="G5" s="121" t="s">
        <v>179</v>
      </c>
      <c r="I5" s="32" t="s">
        <v>533</v>
      </c>
      <c r="J5" s="32" t="s">
        <v>582</v>
      </c>
    </row>
    <row r="6" spans="1:10" ht="14.25" customHeight="1">
      <c r="A6" s="590" t="s">
        <v>120</v>
      </c>
      <c r="B6" s="196"/>
      <c r="C6" s="196"/>
      <c r="D6" s="196"/>
      <c r="E6" s="196"/>
      <c r="F6" s="196"/>
      <c r="G6" s="197"/>
    </row>
    <row r="7" spans="1:10">
      <c r="A7" s="590"/>
      <c r="B7" s="68" t="s">
        <v>119</v>
      </c>
      <c r="C7" s="74">
        <v>1164</v>
      </c>
      <c r="D7" s="74">
        <v>-646</v>
      </c>
      <c r="E7" s="74">
        <v>-5873</v>
      </c>
      <c r="F7" s="74">
        <v>-304</v>
      </c>
      <c r="G7" s="74">
        <f>I7+(F7-J7)</f>
        <v>-1</v>
      </c>
      <c r="I7" s="32">
        <v>119</v>
      </c>
      <c r="J7" s="32">
        <v>-184</v>
      </c>
    </row>
    <row r="8" spans="1:10">
      <c r="A8" s="590"/>
      <c r="B8" s="68" t="s">
        <v>194</v>
      </c>
      <c r="C8" s="74">
        <v>1523</v>
      </c>
      <c r="D8" s="74">
        <v>1918</v>
      </c>
      <c r="E8" s="74">
        <v>1270</v>
      </c>
      <c r="F8" s="74">
        <v>694</v>
      </c>
      <c r="G8" s="74">
        <f>I8+(F8-J8)</f>
        <v>659</v>
      </c>
      <c r="I8" s="32">
        <v>327</v>
      </c>
      <c r="J8" s="32">
        <v>362</v>
      </c>
    </row>
    <row r="9" spans="1:10">
      <c r="A9" s="590"/>
      <c r="B9" s="68" t="s">
        <v>534</v>
      </c>
      <c r="C9" s="74">
        <v>-5</v>
      </c>
      <c r="D9" s="74">
        <v>87</v>
      </c>
      <c r="E9" s="74">
        <v>-149</v>
      </c>
      <c r="F9" s="74">
        <v>62</v>
      </c>
      <c r="G9" s="74">
        <f>I9+(F9-J9)</f>
        <v>-2</v>
      </c>
      <c r="I9" s="32">
        <v>-29</v>
      </c>
      <c r="J9" s="32">
        <v>35</v>
      </c>
    </row>
    <row r="10" spans="1:10">
      <c r="A10" s="590"/>
      <c r="B10" s="68" t="s">
        <v>535</v>
      </c>
      <c r="C10" s="74">
        <v>97</v>
      </c>
      <c r="D10" s="74">
        <v>86</v>
      </c>
      <c r="E10" s="74">
        <v>68</v>
      </c>
      <c r="F10" s="74">
        <v>50</v>
      </c>
      <c r="G10" s="74">
        <f>I10+(F10-J10)</f>
        <v>56</v>
      </c>
      <c r="I10" s="32">
        <v>28</v>
      </c>
      <c r="J10" s="32">
        <v>22</v>
      </c>
    </row>
    <row r="11" spans="1:10">
      <c r="A11" s="590"/>
      <c r="B11" s="68" t="s">
        <v>558</v>
      </c>
      <c r="C11" s="74"/>
      <c r="D11" s="74"/>
      <c r="E11" s="74">
        <v>2748</v>
      </c>
      <c r="F11" s="74">
        <v>0</v>
      </c>
    </row>
    <row r="12" spans="1:10">
      <c r="A12" s="590"/>
      <c r="B12" s="68" t="s">
        <v>561</v>
      </c>
      <c r="C12" s="74">
        <v>355</v>
      </c>
      <c r="D12" s="74">
        <v>335</v>
      </c>
      <c r="E12" s="74"/>
      <c r="F12" s="74">
        <v>0</v>
      </c>
    </row>
    <row r="13" spans="1:10">
      <c r="A13" s="590"/>
      <c r="B13" s="68" t="s">
        <v>536</v>
      </c>
      <c r="C13" s="74"/>
      <c r="D13" s="74">
        <v>28</v>
      </c>
      <c r="E13" s="74">
        <v>107</v>
      </c>
      <c r="F13" s="74">
        <v>135</v>
      </c>
      <c r="G13" s="74">
        <f>I13+(F13-J13)</f>
        <v>57</v>
      </c>
      <c r="I13" s="32">
        <v>41</v>
      </c>
      <c r="J13" s="32">
        <v>119</v>
      </c>
    </row>
    <row r="14" spans="1:10">
      <c r="A14" s="590"/>
      <c r="B14" s="68" t="s">
        <v>537</v>
      </c>
      <c r="C14" s="74"/>
      <c r="D14" s="74"/>
      <c r="E14" s="74">
        <v>377</v>
      </c>
      <c r="F14" s="74">
        <v>80</v>
      </c>
      <c r="G14" s="74">
        <f>I14+(F14-J14)</f>
        <v>-185</v>
      </c>
      <c r="I14" s="32">
        <v>-385</v>
      </c>
      <c r="J14" s="32">
        <v>-120</v>
      </c>
    </row>
    <row r="15" spans="1:10">
      <c r="A15" s="590"/>
      <c r="B15" s="68" t="s">
        <v>538</v>
      </c>
      <c r="C15" s="74">
        <v>9</v>
      </c>
      <c r="D15" s="74">
        <v>8</v>
      </c>
      <c r="E15" s="74">
        <v>34</v>
      </c>
      <c r="F15" s="74">
        <v>37</v>
      </c>
      <c r="G15" s="74">
        <f>I15+(F15-J15)</f>
        <v>44</v>
      </c>
      <c r="I15" s="32">
        <v>17</v>
      </c>
      <c r="J15" s="32">
        <v>10</v>
      </c>
    </row>
    <row r="16" spans="1:10">
      <c r="A16" s="590"/>
      <c r="B16" s="68"/>
      <c r="C16" s="74"/>
      <c r="D16" s="74"/>
      <c r="E16" s="74"/>
      <c r="F16" s="74"/>
    </row>
    <row r="17" spans="1:13" ht="15">
      <c r="A17" s="590"/>
      <c r="B17" s="68"/>
      <c r="C17" s="75">
        <f>SUM(C6:C16)</f>
        <v>3143</v>
      </c>
      <c r="D17" s="75">
        <f>SUM(D6:D16)</f>
        <v>1816</v>
      </c>
      <c r="E17" s="75">
        <f>SUM(E6:E16)</f>
        <v>-1418</v>
      </c>
      <c r="F17" s="75">
        <f>SUM(F6:F16)</f>
        <v>754</v>
      </c>
      <c r="G17" s="75">
        <f>SUM(G6:G16)</f>
        <v>628</v>
      </c>
    </row>
    <row r="18" spans="1:13" ht="15">
      <c r="A18" s="590"/>
      <c r="B18" s="76" t="s">
        <v>539</v>
      </c>
      <c r="C18" s="75">
        <v>-231</v>
      </c>
      <c r="D18" s="75"/>
      <c r="E18" s="75"/>
      <c r="F18" s="75"/>
      <c r="G18" s="75"/>
    </row>
    <row r="19" spans="1:13">
      <c r="A19" s="590"/>
      <c r="B19" s="68" t="s">
        <v>540</v>
      </c>
      <c r="C19" s="74"/>
      <c r="D19" s="74">
        <v>709</v>
      </c>
      <c r="E19" s="74">
        <v>1381</v>
      </c>
      <c r="F19" s="74">
        <v>469</v>
      </c>
      <c r="G19" s="74">
        <f t="shared" ref="G19:G26" si="0">I19+(F19-J19)</f>
        <v>330</v>
      </c>
      <c r="I19" s="32">
        <v>175</v>
      </c>
      <c r="J19" s="32">
        <v>314</v>
      </c>
    </row>
    <row r="20" spans="1:13">
      <c r="A20" s="590"/>
      <c r="B20" s="68" t="s">
        <v>541</v>
      </c>
      <c r="C20" s="74"/>
      <c r="D20" s="74">
        <v>218</v>
      </c>
      <c r="E20" s="74">
        <v>124</v>
      </c>
      <c r="F20" s="74">
        <v>55</v>
      </c>
      <c r="G20" s="74">
        <f t="shared" si="0"/>
        <v>96</v>
      </c>
      <c r="I20" s="32">
        <v>31</v>
      </c>
      <c r="J20" s="32">
        <v>-10</v>
      </c>
    </row>
    <row r="21" spans="1:13">
      <c r="A21" s="590"/>
      <c r="B21" s="68" t="s">
        <v>542</v>
      </c>
      <c r="C21" s="74"/>
      <c r="D21" s="74">
        <v>426</v>
      </c>
      <c r="E21" s="74">
        <v>359</v>
      </c>
      <c r="F21" s="74">
        <v>123</v>
      </c>
      <c r="G21" s="74">
        <f t="shared" si="0"/>
        <v>-28</v>
      </c>
      <c r="I21" s="32">
        <v>-20</v>
      </c>
      <c r="J21" s="32">
        <v>131</v>
      </c>
    </row>
    <row r="22" spans="1:13">
      <c r="A22" s="590"/>
      <c r="B22" s="68" t="s">
        <v>543</v>
      </c>
      <c r="C22" s="74"/>
      <c r="D22" s="74">
        <v>-463</v>
      </c>
      <c r="E22" s="74">
        <v>224</v>
      </c>
      <c r="F22" s="74">
        <v>204</v>
      </c>
      <c r="G22" s="74">
        <f t="shared" si="0"/>
        <v>108</v>
      </c>
      <c r="I22" s="32">
        <v>153</v>
      </c>
      <c r="J22" s="32">
        <v>249</v>
      </c>
    </row>
    <row r="23" spans="1:13">
      <c r="A23" s="590"/>
      <c r="B23" s="68" t="s">
        <v>545</v>
      </c>
      <c r="C23" s="74"/>
      <c r="D23" s="74">
        <v>-177</v>
      </c>
      <c r="E23" s="74">
        <v>-26</v>
      </c>
      <c r="F23" s="74">
        <v>116</v>
      </c>
      <c r="G23" s="74">
        <f t="shared" si="0"/>
        <v>120</v>
      </c>
      <c r="I23" s="32">
        <v>203</v>
      </c>
      <c r="J23" s="32">
        <v>199</v>
      </c>
    </row>
    <row r="24" spans="1:13">
      <c r="A24" s="590"/>
      <c r="B24" s="68" t="s">
        <v>544</v>
      </c>
      <c r="C24" s="74"/>
      <c r="D24" s="74">
        <v>296</v>
      </c>
      <c r="E24" s="74">
        <v>-590</v>
      </c>
      <c r="F24" s="74">
        <v>-240</v>
      </c>
      <c r="G24" s="74">
        <f t="shared" si="0"/>
        <v>-23</v>
      </c>
      <c r="I24" s="32">
        <v>-40</v>
      </c>
      <c r="J24" s="32">
        <v>-257</v>
      </c>
      <c r="M24" s="199"/>
    </row>
    <row r="25" spans="1:13">
      <c r="A25" s="590"/>
      <c r="B25" s="68" t="s">
        <v>529</v>
      </c>
      <c r="C25" s="74"/>
      <c r="D25" s="74">
        <v>-801</v>
      </c>
      <c r="E25" s="74">
        <v>-251</v>
      </c>
      <c r="F25" s="74">
        <v>-550</v>
      </c>
      <c r="G25" s="74">
        <f t="shared" si="0"/>
        <v>-504</v>
      </c>
      <c r="I25" s="32">
        <v>-265</v>
      </c>
      <c r="J25" s="32">
        <v>-311</v>
      </c>
    </row>
    <row r="26" spans="1:13">
      <c r="A26" s="590"/>
      <c r="B26" s="68" t="s">
        <v>530</v>
      </c>
      <c r="C26" s="74"/>
      <c r="D26" s="74">
        <v>279</v>
      </c>
      <c r="E26" s="74">
        <v>38</v>
      </c>
      <c r="F26" s="74">
        <v>-118</v>
      </c>
      <c r="G26" s="74">
        <f t="shared" si="0"/>
        <v>-84</v>
      </c>
      <c r="I26" s="32">
        <v>-111</v>
      </c>
      <c r="J26" s="32">
        <v>-145</v>
      </c>
    </row>
    <row r="27" spans="1:13">
      <c r="A27" s="590"/>
      <c r="B27" s="68"/>
      <c r="C27" s="74"/>
      <c r="D27" s="74"/>
      <c r="E27" s="74"/>
      <c r="F27" s="74"/>
    </row>
    <row r="28" spans="1:13" hidden="1">
      <c r="A28" s="590"/>
      <c r="B28" s="68"/>
      <c r="C28" s="74"/>
      <c r="D28" s="74"/>
      <c r="E28" s="74"/>
      <c r="F28" s="74"/>
    </row>
    <row r="29" spans="1:13" hidden="1">
      <c r="A29" s="590"/>
      <c r="B29" s="68"/>
      <c r="C29" s="74"/>
      <c r="D29" s="74"/>
      <c r="E29" s="74"/>
      <c r="F29" s="74"/>
    </row>
    <row r="30" spans="1:13" hidden="1">
      <c r="A30" s="590"/>
      <c r="B30" s="68"/>
      <c r="C30" s="74"/>
      <c r="D30" s="74">
        <v>0</v>
      </c>
      <c r="E30" s="74"/>
      <c r="F30" s="74"/>
    </row>
    <row r="31" spans="1:13" ht="15">
      <c r="A31" s="590"/>
      <c r="B31" s="232" t="s">
        <v>118</v>
      </c>
      <c r="C31" s="233">
        <f>C17+SUM(C18:C29)</f>
        <v>2912</v>
      </c>
      <c r="D31" s="233">
        <f>D17+SUM(D18:D29)</f>
        <v>2303</v>
      </c>
      <c r="E31" s="233">
        <f>E17+SUM(E18:E29)</f>
        <v>-159</v>
      </c>
      <c r="F31" s="233">
        <f>F17+SUM(F18:F29)</f>
        <v>813</v>
      </c>
      <c r="G31" s="550">
        <f>I31+(F31-J31)</f>
        <v>769</v>
      </c>
      <c r="I31" s="32">
        <f>SUM(I19:I26)</f>
        <v>126</v>
      </c>
      <c r="J31" s="32">
        <f>SUM(J19:J26)</f>
        <v>170</v>
      </c>
    </row>
    <row r="32" spans="1:13" ht="15">
      <c r="A32" s="62"/>
      <c r="B32" s="73"/>
      <c r="C32" s="42"/>
      <c r="D32" s="42"/>
      <c r="E32" s="42"/>
      <c r="F32" s="42"/>
    </row>
    <row r="33" spans="1:10" ht="15">
      <c r="A33" s="591" t="s">
        <v>117</v>
      </c>
      <c r="B33" s="198"/>
      <c r="C33" s="193"/>
      <c r="D33" s="193"/>
      <c r="E33" s="193"/>
      <c r="F33" s="193"/>
      <c r="G33" s="528"/>
    </row>
    <row r="34" spans="1:10">
      <c r="A34" s="591"/>
      <c r="B34" s="68" t="s">
        <v>546</v>
      </c>
      <c r="C34" s="71">
        <v>-355</v>
      </c>
      <c r="D34" s="71">
        <v>-296</v>
      </c>
      <c r="E34" s="71">
        <v>-229</v>
      </c>
      <c r="F34" s="71">
        <v>-802</v>
      </c>
      <c r="G34" s="74">
        <f t="shared" ref="G34:G41" si="1">I34+(F34-J34)</f>
        <v>-715</v>
      </c>
      <c r="I34" s="32">
        <v>-127</v>
      </c>
      <c r="J34" s="32">
        <v>-214</v>
      </c>
    </row>
    <row r="35" spans="1:10">
      <c r="A35" s="591"/>
      <c r="B35" s="77" t="s">
        <v>547</v>
      </c>
      <c r="C35" s="71">
        <v>376</v>
      </c>
      <c r="D35" s="71">
        <v>227</v>
      </c>
      <c r="E35" s="71">
        <v>284</v>
      </c>
      <c r="F35" s="71">
        <v>515</v>
      </c>
      <c r="G35" s="74">
        <f t="shared" si="1"/>
        <v>567</v>
      </c>
      <c r="I35" s="32">
        <v>66</v>
      </c>
      <c r="J35" s="32">
        <v>14</v>
      </c>
    </row>
    <row r="36" spans="1:10">
      <c r="A36" s="591"/>
      <c r="B36" s="72" t="s">
        <v>548</v>
      </c>
      <c r="C36" s="71">
        <v>-902</v>
      </c>
      <c r="D36" s="71">
        <v>-418</v>
      </c>
      <c r="E36" s="71">
        <v>-283</v>
      </c>
      <c r="F36" s="71">
        <v>-87</v>
      </c>
      <c r="G36" s="74">
        <f t="shared" si="1"/>
        <v>-60</v>
      </c>
      <c r="I36" s="32">
        <v>-21</v>
      </c>
      <c r="J36" s="32">
        <v>-48</v>
      </c>
    </row>
    <row r="37" spans="1:10">
      <c r="A37" s="591"/>
      <c r="B37" s="72" t="s">
        <v>562</v>
      </c>
      <c r="C37" s="71"/>
      <c r="D37" s="71">
        <v>5</v>
      </c>
      <c r="E37" s="71">
        <v>49</v>
      </c>
      <c r="F37" s="71">
        <v>348</v>
      </c>
      <c r="G37" s="74">
        <f t="shared" si="1"/>
        <v>348</v>
      </c>
    </row>
    <row r="38" spans="1:10">
      <c r="A38" s="591"/>
      <c r="B38" s="546" t="s">
        <v>549</v>
      </c>
      <c r="C38" s="71">
        <v>-2217</v>
      </c>
      <c r="D38" s="71">
        <v>-1005</v>
      </c>
      <c r="E38" s="71">
        <v>-1080</v>
      </c>
      <c r="F38" s="71">
        <v>-421</v>
      </c>
      <c r="G38" s="74">
        <f t="shared" si="1"/>
        <v>-769</v>
      </c>
      <c r="J38" s="32">
        <v>348</v>
      </c>
    </row>
    <row r="39" spans="1:10">
      <c r="A39" s="591"/>
      <c r="B39" s="68" t="s">
        <v>550</v>
      </c>
      <c r="C39" s="71">
        <v>-226</v>
      </c>
      <c r="D39" s="71">
        <v>-60</v>
      </c>
      <c r="E39" s="71">
        <v>-7</v>
      </c>
      <c r="F39" s="71">
        <v>-119</v>
      </c>
      <c r="G39" s="74">
        <f t="shared" si="1"/>
        <v>116</v>
      </c>
      <c r="I39" s="32">
        <v>-31</v>
      </c>
      <c r="J39" s="32">
        <v>-266</v>
      </c>
    </row>
    <row r="40" spans="1:10">
      <c r="A40" s="591"/>
      <c r="B40" s="68" t="s">
        <v>551</v>
      </c>
      <c r="C40" s="71">
        <v>-250</v>
      </c>
      <c r="D40" s="71">
        <v>-1472</v>
      </c>
      <c r="E40" s="71">
        <v>-1699</v>
      </c>
      <c r="F40" s="71">
        <v>-2949</v>
      </c>
      <c r="G40" s="74">
        <f t="shared" si="1"/>
        <v>-2993</v>
      </c>
      <c r="I40" s="32">
        <v>-53</v>
      </c>
      <c r="J40" s="32">
        <v>-9</v>
      </c>
    </row>
    <row r="41" spans="1:10">
      <c r="A41" s="591"/>
      <c r="B41" s="68" t="s">
        <v>552</v>
      </c>
      <c r="C41" s="71">
        <v>550</v>
      </c>
      <c r="D41" s="71">
        <v>779</v>
      </c>
      <c r="E41" s="71">
        <v>1925</v>
      </c>
      <c r="F41" s="71">
        <v>2342</v>
      </c>
      <c r="G41" s="74">
        <f t="shared" si="1"/>
        <v>2181</v>
      </c>
      <c r="I41" s="32">
        <v>-1413</v>
      </c>
      <c r="J41" s="32">
        <v>-1252</v>
      </c>
    </row>
    <row r="42" spans="1:10">
      <c r="A42" s="591"/>
      <c r="B42" s="68" t="s">
        <v>553</v>
      </c>
      <c r="C42" s="71"/>
      <c r="D42" s="71"/>
      <c r="E42" s="71"/>
      <c r="F42" s="71"/>
      <c r="I42" s="32">
        <v>1598</v>
      </c>
      <c r="J42" s="32">
        <v>1024</v>
      </c>
    </row>
    <row r="43" spans="1:10" hidden="1">
      <c r="A43" s="591"/>
      <c r="B43" s="68"/>
      <c r="C43" s="71"/>
      <c r="D43" s="71"/>
      <c r="E43" s="71"/>
      <c r="F43" s="71"/>
      <c r="I43" s="32">
        <v>4</v>
      </c>
      <c r="J43" s="32">
        <v>-4</v>
      </c>
    </row>
    <row r="44" spans="1:10" hidden="1">
      <c r="A44" s="591"/>
      <c r="B44" s="68"/>
      <c r="C44" s="71"/>
      <c r="D44" s="71"/>
      <c r="E44" s="71"/>
      <c r="F44" s="71"/>
    </row>
    <row r="45" spans="1:10" hidden="1">
      <c r="A45" s="591"/>
      <c r="B45" s="68"/>
      <c r="C45" s="71"/>
      <c r="D45" s="71"/>
      <c r="E45" s="71"/>
      <c r="F45" s="71"/>
    </row>
    <row r="46" spans="1:10" hidden="1">
      <c r="A46" s="591"/>
      <c r="B46" s="68"/>
      <c r="C46" s="71"/>
      <c r="D46" s="71"/>
      <c r="E46" s="71"/>
      <c r="F46" s="71"/>
    </row>
    <row r="47" spans="1:10" ht="15">
      <c r="A47" s="591"/>
      <c r="B47" s="232" t="s">
        <v>116</v>
      </c>
      <c r="C47" s="233">
        <f>SUM(C34:C41)</f>
        <v>-3024</v>
      </c>
      <c r="D47" s="233">
        <f>SUM(D34:D41)</f>
        <v>-2240</v>
      </c>
      <c r="E47" s="233">
        <f>SUM(E34:E41)</f>
        <v>-1040</v>
      </c>
      <c r="F47" s="233">
        <f>SUM(F34:F41)</f>
        <v>-1173</v>
      </c>
      <c r="G47" s="233">
        <f>I47+J47</f>
        <v>-384</v>
      </c>
      <c r="I47" s="32">
        <f>SUM(I34:I43)</f>
        <v>23</v>
      </c>
      <c r="J47" s="32">
        <f>SUM(J34:J43)</f>
        <v>-407</v>
      </c>
    </row>
    <row r="48" spans="1:10">
      <c r="A48" s="68"/>
    </row>
    <row r="49" spans="1:10">
      <c r="A49" s="591" t="s">
        <v>115</v>
      </c>
      <c r="B49" s="68" t="s">
        <v>554</v>
      </c>
      <c r="C49" s="71">
        <v>9</v>
      </c>
      <c r="D49" s="71"/>
      <c r="E49" s="71">
        <v>3</v>
      </c>
      <c r="F49" s="71">
        <v>6</v>
      </c>
      <c r="G49" s="74">
        <f>I49+(F49-J49)</f>
        <v>3</v>
      </c>
      <c r="I49" s="32">
        <v>1</v>
      </c>
      <c r="J49" s="32">
        <v>4</v>
      </c>
    </row>
    <row r="50" spans="1:10">
      <c r="A50" s="591"/>
      <c r="B50" s="68" t="s">
        <v>563</v>
      </c>
      <c r="C50" s="71">
        <v>-2</v>
      </c>
      <c r="D50" s="71">
        <v>-11</v>
      </c>
      <c r="E50" s="71">
        <v>-13</v>
      </c>
      <c r="F50" s="71">
        <v>8</v>
      </c>
      <c r="G50" s="74">
        <f>I50+(F50-J50)</f>
        <v>8</v>
      </c>
    </row>
    <row r="51" spans="1:10">
      <c r="A51" s="591"/>
      <c r="B51" s="68" t="s">
        <v>564</v>
      </c>
      <c r="C51" s="71">
        <v>-156</v>
      </c>
      <c r="D51" s="71">
        <v>-25</v>
      </c>
      <c r="E51" s="71">
        <v>-16</v>
      </c>
      <c r="F51" s="71">
        <v>61</v>
      </c>
      <c r="G51" s="74">
        <f>I51+(F51-J51)</f>
        <v>61</v>
      </c>
    </row>
    <row r="52" spans="1:10">
      <c r="A52" s="591"/>
      <c r="B52" s="68" t="s">
        <v>555</v>
      </c>
      <c r="C52" s="71"/>
      <c r="D52" s="71"/>
      <c r="E52" s="71"/>
      <c r="F52" s="71"/>
      <c r="G52" s="74">
        <f>I52+(F52-J52)</f>
        <v>-47</v>
      </c>
      <c r="I52" s="32">
        <v>-47</v>
      </c>
    </row>
    <row r="53" spans="1:10">
      <c r="A53" s="591"/>
      <c r="B53" s="68" t="s">
        <v>114</v>
      </c>
      <c r="C53" s="71"/>
      <c r="D53" s="71"/>
      <c r="E53" s="71"/>
      <c r="F53" s="71"/>
      <c r="G53" s="74">
        <f>I53+(F53-J53)</f>
        <v>71</v>
      </c>
      <c r="I53" s="32">
        <v>3</v>
      </c>
      <c r="J53" s="32">
        <v>-68</v>
      </c>
    </row>
    <row r="54" spans="1:10">
      <c r="A54" s="591"/>
      <c r="B54" s="68" t="s">
        <v>565</v>
      </c>
      <c r="C54" s="71"/>
      <c r="D54" s="71"/>
      <c r="E54" s="71">
        <v>1250</v>
      </c>
      <c r="F54" s="71">
        <v>0</v>
      </c>
    </row>
    <row r="55" spans="1:10">
      <c r="A55" s="591"/>
      <c r="B55" s="68" t="s">
        <v>556</v>
      </c>
      <c r="C55" s="71"/>
      <c r="D55" s="71"/>
      <c r="E55" s="71"/>
      <c r="F55" s="71">
        <v>-59</v>
      </c>
      <c r="G55" s="74">
        <f>I55+(F55-J55)</f>
        <v>-59</v>
      </c>
    </row>
    <row r="56" spans="1:10">
      <c r="A56" s="591"/>
      <c r="B56" s="68"/>
      <c r="C56" s="71"/>
      <c r="D56" s="71"/>
      <c r="E56" s="71"/>
      <c r="F56" s="71"/>
    </row>
    <row r="57" spans="1:10" hidden="1">
      <c r="A57" s="591"/>
      <c r="B57" s="68"/>
      <c r="C57" s="71"/>
      <c r="D57" s="71"/>
      <c r="E57" s="71"/>
      <c r="F57" s="71"/>
    </row>
    <row r="58" spans="1:10" hidden="1">
      <c r="A58" s="591"/>
      <c r="B58" s="68"/>
      <c r="C58" s="71"/>
      <c r="D58" s="71"/>
      <c r="E58" s="71"/>
      <c r="F58" s="71"/>
    </row>
    <row r="59" spans="1:10" hidden="1">
      <c r="A59" s="591"/>
      <c r="B59" s="68"/>
      <c r="C59" s="71"/>
      <c r="D59" s="71"/>
      <c r="E59" s="71"/>
      <c r="F59" s="71"/>
    </row>
    <row r="60" spans="1:10" hidden="1">
      <c r="A60" s="591"/>
      <c r="B60" s="68"/>
      <c r="C60" s="71"/>
      <c r="D60" s="71"/>
      <c r="E60" s="71"/>
      <c r="F60" s="71"/>
    </row>
    <row r="61" spans="1:10" s="68" customFormat="1">
      <c r="A61" s="591"/>
      <c r="C61" s="71"/>
      <c r="D61" s="71"/>
      <c r="E61" s="71"/>
      <c r="F61" s="71"/>
    </row>
    <row r="62" spans="1:10" ht="15">
      <c r="A62" s="591"/>
      <c r="B62" s="232" t="s">
        <v>113</v>
      </c>
      <c r="C62" s="233">
        <f>SUM(C49:C61)</f>
        <v>-149</v>
      </c>
      <c r="D62" s="233">
        <f>SUM(D49:D61)</f>
        <v>-36</v>
      </c>
      <c r="E62" s="233">
        <f>SUM(E49:E61)</f>
        <v>1224</v>
      </c>
      <c r="F62" s="233">
        <f>SUM(F49:F61)</f>
        <v>16</v>
      </c>
      <c r="G62" s="233">
        <f>I62+J62</f>
        <v>-107</v>
      </c>
      <c r="I62" s="32">
        <f>SUM(I49:I53)</f>
        <v>-43</v>
      </c>
      <c r="J62" s="32">
        <f>SUM(J49:J53)</f>
        <v>-64</v>
      </c>
    </row>
    <row r="63" spans="1:10">
      <c r="A63" s="70"/>
    </row>
    <row r="64" spans="1:10" ht="15">
      <c r="A64" s="69" t="s">
        <v>112</v>
      </c>
      <c r="C64" s="32">
        <v>-3</v>
      </c>
      <c r="F64" s="32">
        <v>-2</v>
      </c>
      <c r="G64" s="74">
        <f>I64+(F64-J64)</f>
        <v>-2</v>
      </c>
    </row>
    <row r="65" spans="1:10" ht="15">
      <c r="A65" s="198" t="s">
        <v>111</v>
      </c>
      <c r="B65" s="196"/>
      <c r="I65" s="32">
        <v>-10</v>
      </c>
      <c r="J65" s="32">
        <v>1</v>
      </c>
    </row>
    <row r="66" spans="1:10" ht="15">
      <c r="A66" s="234" t="s">
        <v>110</v>
      </c>
      <c r="B66" s="226"/>
      <c r="C66" s="613">
        <v>1791</v>
      </c>
      <c r="D66" s="613">
        <v>1527</v>
      </c>
      <c r="E66" s="613">
        <f>D67</f>
        <v>1554</v>
      </c>
      <c r="F66" s="613">
        <f>E67</f>
        <v>1579</v>
      </c>
      <c r="G66" s="613"/>
    </row>
    <row r="67" spans="1:10" ht="15">
      <c r="A67" s="234" t="s">
        <v>109</v>
      </c>
      <c r="B67" s="226"/>
      <c r="C67" s="614">
        <f>C66+C31+C47+C62+C64</f>
        <v>1527</v>
      </c>
      <c r="D67" s="614">
        <f>D66+D31+D47+D62+D64</f>
        <v>1554</v>
      </c>
      <c r="E67" s="614">
        <f>E66+E31+E47+E62+E64</f>
        <v>1579</v>
      </c>
      <c r="F67" s="614">
        <f>F66+F31+F47+F62+F64</f>
        <v>1233</v>
      </c>
      <c r="G67" s="613"/>
    </row>
    <row r="68" spans="1:10" hidden="1">
      <c r="C68" s="74">
        <f>C31+C36</f>
        <v>2010</v>
      </c>
      <c r="D68" s="74">
        <f>D31+D36</f>
        <v>1885</v>
      </c>
      <c r="E68" s="74">
        <f>E31+E36</f>
        <v>-442</v>
      </c>
      <c r="F68" s="74">
        <f>F31+F36</f>
        <v>726</v>
      </c>
      <c r="G68" s="74">
        <f>G31+G36</f>
        <v>709</v>
      </c>
    </row>
    <row r="69" spans="1:10" hidden="1">
      <c r="B69" s="32" t="s">
        <v>593</v>
      </c>
    </row>
  </sheetData>
  <mergeCells count="3">
    <mergeCell ref="A6:A31"/>
    <mergeCell ref="A33:A47"/>
    <mergeCell ref="A49:A62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F47"/>
  <sheetViews>
    <sheetView showGridLines="0" view="pageBreakPreview" topLeftCell="A19" zoomScale="60" zoomScaleNormal="100" workbookViewId="0">
      <selection activeCell="H35" sqref="H35"/>
    </sheetView>
  </sheetViews>
  <sheetFormatPr defaultColWidth="11.42578125" defaultRowHeight="15"/>
  <cols>
    <col min="3" max="3" width="15.28515625" customWidth="1"/>
    <col min="5" max="5" width="18.7109375" bestFit="1" customWidth="1"/>
  </cols>
  <sheetData>
    <row r="1" spans="1:5">
      <c r="A1" t="s">
        <v>497</v>
      </c>
      <c r="E1" s="531">
        <v>1439</v>
      </c>
    </row>
    <row r="3" spans="1:5">
      <c r="A3" t="s">
        <v>498</v>
      </c>
      <c r="E3" s="447">
        <v>0.65</v>
      </c>
    </row>
    <row r="5" spans="1:5">
      <c r="A5" t="s">
        <v>592</v>
      </c>
      <c r="E5" s="531">
        <v>250</v>
      </c>
    </row>
    <row r="7" spans="1:5">
      <c r="A7" t="s">
        <v>499</v>
      </c>
      <c r="E7">
        <v>12</v>
      </c>
    </row>
    <row r="9" spans="1:5">
      <c r="A9" t="s">
        <v>500</v>
      </c>
      <c r="E9" s="136">
        <v>2.35E-2</v>
      </c>
    </row>
    <row r="10" spans="1:5" s="473" customFormat="1">
      <c r="E10" s="136"/>
    </row>
    <row r="11" spans="1:5" s="473" customFormat="1">
      <c r="A11" s="473" t="s">
        <v>505</v>
      </c>
      <c r="E11" s="136" t="s">
        <v>521</v>
      </c>
    </row>
    <row r="12" spans="1:5" s="473" customFormat="1">
      <c r="A12" s="473" t="s">
        <v>502</v>
      </c>
      <c r="E12" s="136">
        <v>0</v>
      </c>
    </row>
    <row r="13" spans="1:5" s="473" customFormat="1">
      <c r="E13" s="136"/>
    </row>
    <row r="14" spans="1:5" s="473" customFormat="1">
      <c r="A14" s="473" t="s">
        <v>503</v>
      </c>
      <c r="E14" s="136">
        <f>E3^2</f>
        <v>0.42250000000000004</v>
      </c>
    </row>
    <row r="15" spans="1:5" s="473" customFormat="1">
      <c r="E15" s="136"/>
    </row>
    <row r="16" spans="1:5" s="473" customFormat="1">
      <c r="A16" s="473" t="s">
        <v>504</v>
      </c>
      <c r="E16" s="447">
        <f>IF(E11="No",(1/E7),E12)</f>
        <v>0</v>
      </c>
    </row>
    <row r="18" spans="1:5">
      <c r="A18" t="s">
        <v>501</v>
      </c>
      <c r="B18" t="e">
        <f>(LN(E1/E5)+(E9-E16+(E14/2))*E7)/(((E14)^(0.5))*(E16^0.5))</f>
        <v>#DIV/0!</v>
      </c>
    </row>
    <row r="19" spans="1:5">
      <c r="A19" t="s">
        <v>506</v>
      </c>
      <c r="B19" t="e">
        <f>NORMSDIST(B18)</f>
        <v>#DIV/0!</v>
      </c>
    </row>
    <row r="21" spans="1:5">
      <c r="A21" t="s">
        <v>507</v>
      </c>
      <c r="B21" t="e">
        <f>B18-((E5^0.5)*(E7^(0.5)))</f>
        <v>#DIV/0!</v>
      </c>
    </row>
    <row r="22" spans="1:5">
      <c r="A22" t="s">
        <v>508</v>
      </c>
      <c r="B22" t="e">
        <f>NORMSDIST(B21)</f>
        <v>#DIV/0!</v>
      </c>
    </row>
    <row r="24" spans="1:5">
      <c r="A24" t="s">
        <v>509</v>
      </c>
      <c r="E24" s="531" t="e">
        <f>(EXP((0-E16)*E7))*E1*B19-E5*(EXP((0-E9)*B22))*C45</f>
        <v>#DIV/0!</v>
      </c>
    </row>
    <row r="34" spans="1:6">
      <c r="F34" s="438" t="s">
        <v>602</v>
      </c>
    </row>
    <row r="35" spans="1:6">
      <c r="A35" s="534" t="s">
        <v>510</v>
      </c>
      <c r="B35" s="532"/>
      <c r="C35" s="532"/>
      <c r="D35" s="533"/>
      <c r="E35" s="533"/>
      <c r="F35" s="533"/>
    </row>
    <row r="36" spans="1:6">
      <c r="A36" s="532" t="s">
        <v>591</v>
      </c>
      <c r="B36" s="532"/>
      <c r="C36" s="544">
        <v>1166</v>
      </c>
      <c r="D36" s="533"/>
      <c r="E36" s="532" t="s">
        <v>511</v>
      </c>
      <c r="F36" s="536">
        <f>E9</f>
        <v>2.35E-2</v>
      </c>
    </row>
    <row r="37" spans="1:6">
      <c r="A37" s="532" t="s">
        <v>512</v>
      </c>
      <c r="B37" s="532"/>
      <c r="C37" s="544">
        <v>1</v>
      </c>
      <c r="D37" s="533"/>
      <c r="E37" s="532" t="s">
        <v>513</v>
      </c>
      <c r="F37" s="537">
        <f>E3^2</f>
        <v>0.42250000000000004</v>
      </c>
    </row>
    <row r="38" spans="1:6">
      <c r="A38" s="532" t="s">
        <v>514</v>
      </c>
      <c r="B38" s="532"/>
      <c r="C38" s="538">
        <f>E7</f>
        <v>12</v>
      </c>
      <c r="D38" s="533"/>
      <c r="E38" s="532" t="s">
        <v>515</v>
      </c>
      <c r="F38" s="539">
        <f>IF(E11="No",(1/E7),E12)</f>
        <v>0</v>
      </c>
    </row>
    <row r="39" spans="1:6">
      <c r="A39" s="532"/>
      <c r="B39" s="532"/>
      <c r="C39" s="534"/>
      <c r="D39" s="533"/>
      <c r="E39" s="533"/>
      <c r="F39" s="540"/>
    </row>
    <row r="40" spans="1:6">
      <c r="A40" s="532"/>
      <c r="B40" s="532"/>
      <c r="C40" s="532"/>
      <c r="D40" s="533"/>
      <c r="E40" s="533"/>
      <c r="F40" s="541"/>
    </row>
    <row r="41" spans="1:6">
      <c r="A41" s="532"/>
      <c r="B41" s="532" t="s">
        <v>516</v>
      </c>
      <c r="C41" s="542">
        <f>(LN(C36/C37)+(F36-F38+(F37/2))*C38)/(((F37)^(0.5))*(C38^0.5))</f>
        <v>4.3871223122160563</v>
      </c>
      <c r="D41" s="535"/>
      <c r="E41" s="535"/>
      <c r="F41" s="533"/>
    </row>
    <row r="42" spans="1:6">
      <c r="A42" s="532"/>
      <c r="B42" s="532" t="s">
        <v>517</v>
      </c>
      <c r="C42" s="542">
        <f>NORMSDIST(C41)</f>
        <v>0.99999425698973476</v>
      </c>
      <c r="D42" s="533"/>
      <c r="E42" s="533"/>
      <c r="F42" s="533"/>
    </row>
    <row r="43" spans="1:6">
      <c r="A43" s="532"/>
      <c r="B43" s="532"/>
      <c r="C43" s="535"/>
      <c r="D43" s="535"/>
      <c r="E43" s="535"/>
      <c r="F43" s="533"/>
    </row>
    <row r="44" spans="1:6">
      <c r="A44" s="532"/>
      <c r="B44" s="532" t="s">
        <v>518</v>
      </c>
      <c r="C44" s="542">
        <f>C41-((F37^0.5)*(C38^(0.5)))</f>
        <v>2.1354562623765161</v>
      </c>
      <c r="D44" s="535"/>
      <c r="E44" s="535"/>
      <c r="F44" s="533"/>
    </row>
    <row r="45" spans="1:6">
      <c r="A45" s="532"/>
      <c r="B45" s="532" t="s">
        <v>519</v>
      </c>
      <c r="C45" s="542">
        <f>NORMSDIST(C44)</f>
        <v>0.98363812040815968</v>
      </c>
      <c r="D45" s="533"/>
      <c r="E45" s="533"/>
      <c r="F45" s="533"/>
    </row>
    <row r="46" spans="1:6">
      <c r="A46" s="532"/>
      <c r="B46" s="532"/>
      <c r="C46" s="532"/>
      <c r="D46" s="533"/>
      <c r="E46" s="533"/>
      <c r="F46" s="533"/>
    </row>
    <row r="47" spans="1:6">
      <c r="A47" s="534" t="s">
        <v>520</v>
      </c>
      <c r="B47" s="534"/>
      <c r="C47" s="534"/>
      <c r="D47" s="543"/>
      <c r="E47" s="545">
        <f>(EXP((0-F38)*C38))*C36*C42-C37*(EXP((0-F36)*C38))*C45</f>
        <v>1165.2513713007033</v>
      </c>
      <c r="F47" s="534"/>
    </row>
  </sheetData>
  <phoneticPr fontId="75" type="noConversion"/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S53"/>
  <sheetViews>
    <sheetView topLeftCell="A22" workbookViewId="0">
      <selection activeCell="B49" sqref="B49"/>
    </sheetView>
  </sheetViews>
  <sheetFormatPr defaultColWidth="8.85546875" defaultRowHeight="15"/>
  <cols>
    <col min="1" max="1" width="31.28515625" style="28" customWidth="1"/>
    <col min="2" max="2" width="21.28515625" style="28" customWidth="1"/>
    <col min="3" max="10" width="13.7109375" style="28" customWidth="1"/>
    <col min="11" max="12" width="34.42578125" style="28" bestFit="1" customWidth="1"/>
    <col min="13" max="13" width="19.42578125" style="28" bestFit="1" customWidth="1"/>
    <col min="14" max="15" width="22.28515625" style="28" bestFit="1" customWidth="1"/>
    <col min="16" max="16" width="19.42578125" style="28" bestFit="1" customWidth="1"/>
    <col min="17" max="16384" width="8.85546875" style="28"/>
  </cols>
  <sheetData>
    <row r="1" spans="1:19">
      <c r="A1" s="176" t="s">
        <v>213</v>
      </c>
      <c r="B1" s="176"/>
      <c r="C1" s="176"/>
      <c r="D1" s="176"/>
      <c r="E1" s="176"/>
      <c r="F1" s="176"/>
      <c r="G1" s="176"/>
      <c r="H1" s="176"/>
      <c r="I1" s="176"/>
      <c r="K1" s="176" t="s">
        <v>189</v>
      </c>
      <c r="L1" s="176"/>
      <c r="M1" s="176"/>
      <c r="N1" s="176"/>
      <c r="O1" s="176"/>
      <c r="P1" s="30"/>
      <c r="Q1" s="30"/>
      <c r="R1" s="30"/>
      <c r="S1" s="11"/>
    </row>
    <row r="2" spans="1:19">
      <c r="A2" s="30"/>
      <c r="B2" s="30"/>
      <c r="C2" s="30"/>
      <c r="D2" s="30"/>
      <c r="E2" s="30"/>
      <c r="F2" s="30"/>
      <c r="G2" s="30"/>
      <c r="H2" s="30"/>
      <c r="I2" s="30"/>
      <c r="L2" s="28" t="s">
        <v>188</v>
      </c>
      <c r="M2" s="28" t="s">
        <v>187</v>
      </c>
      <c r="N2" s="28" t="s">
        <v>190</v>
      </c>
      <c r="O2" s="28" t="s">
        <v>186</v>
      </c>
    </row>
    <row r="3" spans="1:19">
      <c r="A3" s="597" t="s">
        <v>23</v>
      </c>
      <c r="B3" s="484" t="s">
        <v>15</v>
      </c>
      <c r="C3" s="485" t="s">
        <v>200</v>
      </c>
      <c r="D3" s="485" t="s">
        <v>16</v>
      </c>
      <c r="E3" s="485" t="s">
        <v>17</v>
      </c>
      <c r="F3" s="485" t="s">
        <v>18</v>
      </c>
      <c r="G3" s="485" t="s">
        <v>19</v>
      </c>
      <c r="H3" s="485" t="s">
        <v>20</v>
      </c>
      <c r="I3" s="351" t="s">
        <v>21</v>
      </c>
      <c r="K3" s="28" t="s">
        <v>478</v>
      </c>
      <c r="L3" s="13">
        <f>Scania!O10*100000/L13</f>
        <v>108045197.74011301</v>
      </c>
      <c r="M3" s="132">
        <f>Scania!C18/10</f>
        <v>80000000</v>
      </c>
      <c r="N3" s="13">
        <f>Scania!C12/L13</f>
        <v>14.124293785310735</v>
      </c>
      <c r="O3" s="13">
        <f t="shared" ref="O3:O9" si="0">N3*M3</f>
        <v>1129943502.8248589</v>
      </c>
    </row>
    <row r="4" spans="1:19">
      <c r="A4" s="597"/>
      <c r="B4" s="258">
        <f>WACC!C3</f>
        <v>1.2199999999999999E-3</v>
      </c>
      <c r="C4" s="320">
        <f>WACC!D3</f>
        <v>0</v>
      </c>
      <c r="D4" s="320">
        <f>WACC!E3</f>
        <v>2E-3</v>
      </c>
      <c r="E4" s="320">
        <f>WACC!F3</f>
        <v>1.5E-3</v>
      </c>
      <c r="F4" s="320">
        <f>WACC!G3</f>
        <v>0.158</v>
      </c>
      <c r="G4" s="369">
        <f>WACC!H3</f>
        <v>0.05</v>
      </c>
      <c r="H4" s="320" t="e">
        <f>WACC!#REF!</f>
        <v>#REF!</v>
      </c>
      <c r="I4" s="320" t="e">
        <f>WACC!#REF!</f>
        <v>#REF!</v>
      </c>
      <c r="K4" s="28" t="s">
        <v>45</v>
      </c>
      <c r="L4" s="13">
        <f>Daimler!Q11*100000</f>
        <v>1105300000</v>
      </c>
      <c r="M4" s="132">
        <f>Daimler!D18*100000</f>
        <v>106980000</v>
      </c>
      <c r="N4" s="13">
        <v>62.9</v>
      </c>
      <c r="O4" s="13">
        <f t="shared" si="0"/>
        <v>6729042000</v>
      </c>
    </row>
    <row r="5" spans="1:19">
      <c r="A5" s="489" t="s">
        <v>29</v>
      </c>
      <c r="B5" s="247">
        <v>0.21</v>
      </c>
      <c r="C5" s="247">
        <v>0.26</v>
      </c>
      <c r="D5" s="259">
        <v>0.1</v>
      </c>
      <c r="E5" s="247">
        <v>0.14000000000000001</v>
      </c>
      <c r="F5" s="247">
        <v>0.19</v>
      </c>
      <c r="G5" s="26">
        <v>0.04</v>
      </c>
      <c r="H5" s="247">
        <v>0.05</v>
      </c>
      <c r="I5" s="247">
        <v>0.01</v>
      </c>
      <c r="K5" s="28" t="s">
        <v>46</v>
      </c>
      <c r="L5" s="13">
        <f>Paccar!Q11*1000000</f>
        <v>3018000000</v>
      </c>
      <c r="M5" s="132">
        <f>Paccar!D18*1000000</f>
        <v>355000000</v>
      </c>
      <c r="N5" s="13">
        <v>47.19</v>
      </c>
      <c r="O5" s="13">
        <f t="shared" si="0"/>
        <v>16752450000</v>
      </c>
    </row>
    <row r="6" spans="1:19">
      <c r="A6" s="490" t="s">
        <v>214</v>
      </c>
      <c r="B6" s="598" t="e">
        <f>B5*B4+C5*C4+E5*E4+F5*F4+G5*G4+H5*H4+I5*I4+D5*D4</f>
        <v>#REF!</v>
      </c>
      <c r="C6" s="598"/>
      <c r="D6" s="598"/>
      <c r="E6" s="598"/>
      <c r="F6" s="598"/>
      <c r="G6" s="598"/>
      <c r="H6" s="598"/>
      <c r="I6" s="598"/>
      <c r="K6" s="28" t="s">
        <v>47</v>
      </c>
      <c r="L6" s="13">
        <f>Oshkosh!Q11*1000000</f>
        <v>733500000</v>
      </c>
      <c r="M6" s="132">
        <f>Oshkosh!D18*1000000</f>
        <v>85000000</v>
      </c>
      <c r="N6" s="13">
        <v>40.18</v>
      </c>
      <c r="O6" s="13">
        <f t="shared" si="0"/>
        <v>3415300000</v>
      </c>
    </row>
    <row r="7" spans="1:19">
      <c r="A7" s="491" t="s">
        <v>39</v>
      </c>
      <c r="B7" s="599">
        <v>0.05</v>
      </c>
      <c r="C7" s="599"/>
      <c r="D7" s="599"/>
      <c r="E7" s="599"/>
      <c r="F7" s="599"/>
      <c r="G7" s="599"/>
      <c r="H7" s="599"/>
      <c r="I7" s="599"/>
      <c r="K7" s="28" t="s">
        <v>332</v>
      </c>
      <c r="L7" s="13">
        <f>Dongfeng!Q11*1000000</f>
        <v>21739000000</v>
      </c>
      <c r="M7" s="132">
        <f>Dongfeng!D18*1000000</f>
        <v>8616120000</v>
      </c>
      <c r="N7" s="13">
        <f>Dongfeng!D12</f>
        <v>12.14</v>
      </c>
      <c r="O7" s="13">
        <f t="shared" si="0"/>
        <v>104599696800</v>
      </c>
    </row>
    <row r="8" spans="1:19">
      <c r="A8" s="492" t="s">
        <v>38</v>
      </c>
      <c r="B8" s="259">
        <f>WACC!C8</f>
        <v>0</v>
      </c>
      <c r="C8" s="259">
        <f>WACC!D8</f>
        <v>0</v>
      </c>
      <c r="D8" s="259">
        <f>WACC!E8</f>
        <v>6.0000000000000001E-3</v>
      </c>
      <c r="E8" s="259">
        <f>WACC!F8</f>
        <v>1.1299999999999999E-2</v>
      </c>
      <c r="F8" s="259">
        <f>WACC!G8</f>
        <v>4.2000000000000003E-2</v>
      </c>
      <c r="G8" s="370">
        <f>WACC!H8</f>
        <v>1.5100000000000001E-2</v>
      </c>
      <c r="H8" s="259" t="e">
        <f>WACC!#REF!</f>
        <v>#REF!</v>
      </c>
      <c r="I8" s="259" t="e">
        <f>WACC!#REF!</f>
        <v>#REF!</v>
      </c>
      <c r="K8" s="28" t="s">
        <v>311</v>
      </c>
      <c r="L8" s="13">
        <f>Dürr!Q11*1000</f>
        <v>458513000</v>
      </c>
      <c r="M8" s="132">
        <f>Dürr!D18*1000</f>
        <v>34601000</v>
      </c>
      <c r="N8" s="13">
        <f>Dürr!D12</f>
        <v>64.81</v>
      </c>
      <c r="O8" s="13">
        <f t="shared" si="0"/>
        <v>2242490810</v>
      </c>
    </row>
    <row r="9" spans="1:19">
      <c r="A9" s="213"/>
      <c r="B9" s="600" t="e">
        <f>B8*B5+C8*C5+D8*D5+E8*E5+F8*F5+G8*G5+H8*H5+I8*I5</f>
        <v>#REF!</v>
      </c>
      <c r="C9" s="600"/>
      <c r="D9" s="600"/>
      <c r="E9" s="600"/>
      <c r="F9" s="600"/>
      <c r="G9" s="600"/>
      <c r="H9" s="600"/>
      <c r="I9" s="600"/>
      <c r="K9" s="28" t="s">
        <v>309</v>
      </c>
      <c r="L9" s="13">
        <f>Deutz!Q11*1000000</f>
        <v>58900000</v>
      </c>
      <c r="M9" s="132">
        <f>Deutz!D18*1000000</f>
        <v>120862000</v>
      </c>
      <c r="N9" s="13">
        <f>Deutz!D12</f>
        <v>3.81</v>
      </c>
      <c r="O9" s="13">
        <f t="shared" si="0"/>
        <v>460484220</v>
      </c>
    </row>
    <row r="10" spans="1:19">
      <c r="A10" s="178"/>
      <c r="B10" s="487" t="s">
        <v>478</v>
      </c>
      <c r="C10" s="488" t="s">
        <v>45</v>
      </c>
      <c r="D10" s="488" t="s">
        <v>46</v>
      </c>
      <c r="E10" s="488" t="s">
        <v>47</v>
      </c>
      <c r="F10" s="488" t="s">
        <v>306</v>
      </c>
      <c r="G10" s="488" t="s">
        <v>311</v>
      </c>
      <c r="H10" s="488" t="s">
        <v>309</v>
      </c>
      <c r="I10" s="478" t="s">
        <v>182</v>
      </c>
      <c r="K10" s="11"/>
    </row>
    <row r="11" spans="1:19">
      <c r="A11" s="212" t="s">
        <v>41</v>
      </c>
      <c r="B11" s="486">
        <f>Scania!C8</f>
        <v>0.13510957298842591</v>
      </c>
      <c r="C11" s="486">
        <f>Daimler!D8</f>
        <v>0.98453528897586684</v>
      </c>
      <c r="D11" s="389">
        <f>Paccar!D8</f>
        <v>1.5427995893850872</v>
      </c>
      <c r="E11" s="486">
        <f>Oshkosh!D8</f>
        <v>2.5170925281098255</v>
      </c>
      <c r="F11" s="486">
        <f>Dongfeng!D8</f>
        <v>1.4527721440555608</v>
      </c>
      <c r="G11" s="486">
        <f>Dürr!D8</f>
        <v>0.89505986464533638</v>
      </c>
      <c r="H11" s="486">
        <f>Deutz!D8</f>
        <v>0.85793273031627493</v>
      </c>
      <c r="I11" s="389">
        <v>1.28</v>
      </c>
      <c r="K11" s="11" t="s">
        <v>191</v>
      </c>
      <c r="L11" s="28">
        <v>1.3755999999999999</v>
      </c>
    </row>
    <row r="12" spans="1:19">
      <c r="A12" s="213" t="s">
        <v>33</v>
      </c>
      <c r="B12" s="366">
        <f>Scania!O28</f>
        <v>80953</v>
      </c>
      <c r="C12" s="366">
        <f>Daimler!Q29</f>
        <v>125155</v>
      </c>
      <c r="D12" s="365">
        <f>Paccar!Q29</f>
        <v>14093</v>
      </c>
      <c r="E12" s="366">
        <f>Oshkosh!Q29</f>
        <v>2657.8999999999996</v>
      </c>
      <c r="F12" s="366">
        <f>Dongfeng!Q29</f>
        <v>51964</v>
      </c>
      <c r="G12" s="366">
        <f>Dürr!Q29</f>
        <v>1479090</v>
      </c>
      <c r="H12" s="366">
        <f>Deutz!Q29</f>
        <v>616.29999999999995</v>
      </c>
      <c r="I12" s="250"/>
      <c r="K12" s="11"/>
    </row>
    <row r="13" spans="1:19">
      <c r="A13" s="213" t="s">
        <v>34</v>
      </c>
      <c r="B13" s="366">
        <f>Scania!O32</f>
        <v>37055</v>
      </c>
      <c r="C13" s="366">
        <f>Daimler!Q33</f>
        <v>43363</v>
      </c>
      <c r="D13" s="365">
        <f>Paccar!Q33</f>
        <v>6634</v>
      </c>
      <c r="E13" s="366">
        <f>Oshkosh!Q33</f>
        <v>2107.8000000000002</v>
      </c>
      <c r="F13" s="366">
        <f>Dongfeng!Q33</f>
        <v>63135</v>
      </c>
      <c r="G13" s="366">
        <f>Dürr!Q33</f>
        <v>504499</v>
      </c>
      <c r="H13" s="366">
        <f>Deutz!Q33</f>
        <v>480.3</v>
      </c>
      <c r="I13" s="250"/>
      <c r="K13" s="11" t="s">
        <v>192</v>
      </c>
      <c r="L13" s="28">
        <v>8.85</v>
      </c>
    </row>
    <row r="14" spans="1:19">
      <c r="A14" s="213" t="s">
        <v>42</v>
      </c>
      <c r="B14" s="391">
        <f>B11/((1+(1-0.22)*(B12/B13)))</f>
        <v>4.9965750201910748E-2</v>
      </c>
      <c r="C14" s="391">
        <f>C11/((1+(1-WACC!L3)*(C12/C13)))</f>
        <v>0.31541778024849304</v>
      </c>
      <c r="D14" s="352" t="e">
        <f>D11/((1+(1-WACC!#REF!)*(D12/D13)))</f>
        <v>#REF!</v>
      </c>
      <c r="E14" s="352" t="e">
        <f>E11/((1+(1-WACC!#REF!)*(E12/E13)))</f>
        <v>#REF!</v>
      </c>
      <c r="F14" s="391" t="e">
        <f>E11/((1+(1-WACC!#REF!)*(E12/E13)))</f>
        <v>#REF!</v>
      </c>
      <c r="G14" s="391">
        <f>G11/((1+(1-WACC!L3)*(G12/G13)))</f>
        <v>0.28370712043479923</v>
      </c>
      <c r="H14" s="391">
        <f>H11/((1+(1-WACC!L3)*(H12/H13)))</f>
        <v>0.44152330448445765</v>
      </c>
      <c r="I14" s="437">
        <v>0.66</v>
      </c>
    </row>
    <row r="15" spans="1:19">
      <c r="A15" s="213" t="s">
        <v>185</v>
      </c>
      <c r="B15" s="364">
        <f>L3/O3</f>
        <v>9.5619999999999997E-2</v>
      </c>
      <c r="C15" s="364">
        <f>L4/O4</f>
        <v>0.16425815145751801</v>
      </c>
      <c r="D15" s="262">
        <f>L5/O5</f>
        <v>0.18015275377631332</v>
      </c>
      <c r="E15" s="364">
        <f>L6/O6</f>
        <v>0.2147688343630135</v>
      </c>
      <c r="F15" s="364">
        <f>L7/O7</f>
        <v>0.20783043034595106</v>
      </c>
      <c r="G15" s="364">
        <f>L8/O8</f>
        <v>0.20446594383144875</v>
      </c>
      <c r="H15" s="364">
        <f>L9/O9</f>
        <v>0.12790883474790948</v>
      </c>
      <c r="I15" s="249">
        <v>8.48E-2</v>
      </c>
    </row>
    <row r="16" spans="1:19">
      <c r="A16" s="213" t="s">
        <v>184</v>
      </c>
      <c r="B16" s="363">
        <f>B14*(1+B15)</f>
        <v>5.4743475236217455E-2</v>
      </c>
      <c r="C16" s="363">
        <f>C14*(1+C15)</f>
        <v>0.36722772176894419</v>
      </c>
      <c r="D16" s="261" t="e">
        <f t="shared" ref="D16:I16" si="1">D14*(1+D15)</f>
        <v>#REF!</v>
      </c>
      <c r="E16" s="363" t="e">
        <f t="shared" si="1"/>
        <v>#REF!</v>
      </c>
      <c r="F16" s="363" t="e">
        <f t="shared" si="1"/>
        <v>#REF!</v>
      </c>
      <c r="G16" s="363">
        <f t="shared" si="1"/>
        <v>0.34171556458620295</v>
      </c>
      <c r="H16" s="363">
        <f t="shared" si="1"/>
        <v>0.4979980358751111</v>
      </c>
      <c r="I16" s="261">
        <f t="shared" si="1"/>
        <v>0.71596800000000005</v>
      </c>
      <c r="J16" s="27"/>
    </row>
    <row r="17" spans="1:14">
      <c r="A17" s="490" t="s">
        <v>333</v>
      </c>
      <c r="B17" s="594" t="e">
        <f>MEDIAN(B16:I16)</f>
        <v>#REF!</v>
      </c>
      <c r="C17" s="594"/>
      <c r="D17" s="594"/>
      <c r="E17" s="594"/>
      <c r="F17" s="594"/>
      <c r="G17" s="594"/>
      <c r="H17" s="594"/>
      <c r="I17" s="594"/>
      <c r="J17" s="27"/>
      <c r="M17" s="13"/>
    </row>
    <row r="18" spans="1:14">
      <c r="A18" s="214" t="s">
        <v>215</v>
      </c>
      <c r="B18" s="596" t="e">
        <f>$B$6+$B$17*($B$7+$B$9)</f>
        <v>#REF!</v>
      </c>
      <c r="C18" s="596"/>
      <c r="D18" s="596"/>
      <c r="E18" s="596"/>
      <c r="F18" s="596"/>
      <c r="G18" s="596"/>
      <c r="H18" s="596"/>
      <c r="I18" s="596"/>
    </row>
    <row r="19" spans="1:14">
      <c r="M19" s="13"/>
    </row>
    <row r="20" spans="1:14">
      <c r="A20" s="176" t="s">
        <v>216</v>
      </c>
      <c r="B20" s="176"/>
      <c r="C20" s="176"/>
      <c r="D20" s="176"/>
      <c r="E20" s="176"/>
      <c r="F20" s="176"/>
      <c r="G20" s="176"/>
      <c r="H20" s="176"/>
      <c r="I20" s="176"/>
    </row>
    <row r="21" spans="1:14">
      <c r="A21" s="30"/>
      <c r="B21" s="30"/>
      <c r="C21" s="30"/>
      <c r="D21" s="30"/>
      <c r="E21" s="30"/>
      <c r="F21" s="30"/>
      <c r="G21" s="30"/>
      <c r="H21" s="30"/>
      <c r="I21" s="30"/>
    </row>
    <row r="22" spans="1:14">
      <c r="A22" s="358"/>
      <c r="B22" s="358"/>
      <c r="C22" s="595" t="s">
        <v>164</v>
      </c>
      <c r="D22" s="595"/>
      <c r="E22" s="595"/>
      <c r="F22" s="595"/>
      <c r="J22" s="30"/>
    </row>
    <row r="23" spans="1:14">
      <c r="A23" s="359"/>
      <c r="B23" s="360"/>
      <c r="C23" s="263" t="s">
        <v>162</v>
      </c>
      <c r="D23" s="263" t="s">
        <v>161</v>
      </c>
      <c r="E23" s="263" t="s">
        <v>160</v>
      </c>
      <c r="F23" s="263" t="s">
        <v>159</v>
      </c>
    </row>
    <row r="24" spans="1:14">
      <c r="A24" s="264" t="s">
        <v>157</v>
      </c>
      <c r="B24" s="493"/>
      <c r="C24" s="354">
        <f>'DCF Analysis '!I5</f>
        <v>2340.9</v>
      </c>
      <c r="D24" s="354">
        <f>'DCF Analysis '!J5</f>
        <v>2106.81</v>
      </c>
      <c r="E24" s="354">
        <f>'DCF Analysis '!K5</f>
        <v>1896.1289999999999</v>
      </c>
      <c r="F24" s="354">
        <f>'DCF Analysis '!L5</f>
        <v>1706.5161000000001</v>
      </c>
      <c r="J24" s="12"/>
    </row>
    <row r="25" spans="1:14">
      <c r="A25" s="264" t="s">
        <v>156</v>
      </c>
      <c r="B25" s="493"/>
      <c r="C25" s="15">
        <f>'DCF Analysis '!I6</f>
        <v>-9.9999999999999964E-2</v>
      </c>
      <c r="D25" s="15">
        <f>'DCF Analysis '!J6</f>
        <v>-0.10000000000000006</v>
      </c>
      <c r="E25" s="15">
        <f>'DCF Analysis '!K6</f>
        <v>-0.10000000000000002</v>
      </c>
      <c r="F25" s="15">
        <f>'DCF Analysis '!L6</f>
        <v>-9.9999999999999922E-2</v>
      </c>
    </row>
    <row r="26" spans="1:14">
      <c r="A26" s="264" t="s">
        <v>62</v>
      </c>
      <c r="B26" s="493"/>
      <c r="C26" s="354">
        <f>'DCF Analysis '!I7</f>
        <v>77.400000000000006</v>
      </c>
      <c r="D26" s="354">
        <f>'DCF Analysis '!J7</f>
        <v>69.660000000000011</v>
      </c>
      <c r="E26" s="354">
        <f>'DCF Analysis '!K7</f>
        <v>62.69400000000001</v>
      </c>
      <c r="F26" s="354">
        <f>'DCF Analysis '!L7</f>
        <v>56.424600000000012</v>
      </c>
    </row>
    <row r="27" spans="1:14">
      <c r="A27" s="264" t="s">
        <v>154</v>
      </c>
      <c r="B27" s="493"/>
      <c r="C27" s="15">
        <f>'DCF Analysis '!I8</f>
        <v>3.3064206074586697E-2</v>
      </c>
      <c r="D27" s="15">
        <f>'DCF Analysis '!J8</f>
        <v>3.3064206074586704E-2</v>
      </c>
      <c r="E27" s="15">
        <f>'DCF Analysis '!K8</f>
        <v>3.3064206074586704E-2</v>
      </c>
      <c r="F27" s="15">
        <f>'DCF Analysis '!L8</f>
        <v>3.3064206074586704E-2</v>
      </c>
      <c r="K27" s="12"/>
      <c r="L27" s="12"/>
      <c r="M27" s="12"/>
      <c r="N27" s="12"/>
    </row>
    <row r="28" spans="1:14">
      <c r="A28" s="264" t="s">
        <v>194</v>
      </c>
      <c r="B28" s="493"/>
      <c r="C28" s="354">
        <f>'DCF Analysis '!I9</f>
        <v>117.04500000000002</v>
      </c>
      <c r="D28" s="354">
        <f>'DCF Analysis '!J9</f>
        <v>105.34050000000001</v>
      </c>
      <c r="E28" s="354">
        <f>'DCF Analysis '!K9</f>
        <v>94.806449999999998</v>
      </c>
      <c r="F28" s="354">
        <f>'DCF Analysis '!L9</f>
        <v>85.325805000000003</v>
      </c>
    </row>
    <row r="29" spans="1:14">
      <c r="A29" s="264" t="s">
        <v>61</v>
      </c>
      <c r="B29" s="493"/>
      <c r="C29" s="354">
        <f>'DCF Analysis '!I10</f>
        <v>-39.64500000000001</v>
      </c>
      <c r="D29" s="354">
        <f>'DCF Analysis '!J10</f>
        <v>-35.680499999999995</v>
      </c>
      <c r="E29" s="354">
        <f>'DCF Analysis '!K10</f>
        <v>-32.112449999999988</v>
      </c>
      <c r="F29" s="354">
        <f>'DCF Analysis '!L10</f>
        <v>-28.90120499999999</v>
      </c>
    </row>
    <row r="30" spans="1:14">
      <c r="A30" s="264" t="s">
        <v>154</v>
      </c>
      <c r="B30" s="493"/>
      <c r="C30" s="15">
        <f>'DCF Analysis '!I11</f>
        <v>-1.6935793925413306E-2</v>
      </c>
      <c r="D30" s="15">
        <f>'DCF Analysis '!J11</f>
        <v>-1.6935793925413299E-2</v>
      </c>
      <c r="E30" s="15">
        <f>'DCF Analysis '!K11</f>
        <v>-1.6935793925413296E-2</v>
      </c>
      <c r="F30" s="15">
        <f>'DCF Analysis '!L11</f>
        <v>-1.6935793925413296E-2</v>
      </c>
    </row>
    <row r="31" spans="1:14">
      <c r="A31" s="264" t="s">
        <v>153</v>
      </c>
      <c r="B31" s="493"/>
      <c r="C31" s="354">
        <f>'DCF Analysis '!I12</f>
        <v>-11.734920000000002</v>
      </c>
      <c r="D31" s="354">
        <f>'DCF Analysis '!J12</f>
        <v>0</v>
      </c>
      <c r="E31" s="354">
        <f>'DCF Analysis '!K12</f>
        <v>0</v>
      </c>
      <c r="F31" s="354">
        <f>'DCF Analysis '!L12</f>
        <v>0</v>
      </c>
    </row>
    <row r="32" spans="1:14">
      <c r="A32" s="264" t="s">
        <v>152</v>
      </c>
      <c r="B32" s="493"/>
      <c r="C32" s="354">
        <f>'DCF Analysis '!I13</f>
        <v>-27.910080000000008</v>
      </c>
      <c r="D32" s="354">
        <f>'DCF Analysis '!J13</f>
        <v>-35.680499999999995</v>
      </c>
      <c r="E32" s="354">
        <f>'DCF Analysis '!K13</f>
        <v>-32.112449999999988</v>
      </c>
      <c r="F32" s="354">
        <f>'DCF Analysis '!L13</f>
        <v>-28.90120499999999</v>
      </c>
    </row>
    <row r="33" spans="1:6">
      <c r="A33" s="264" t="s">
        <v>151</v>
      </c>
      <c r="B33" s="493"/>
      <c r="C33" s="354">
        <f>'DCF Analysis '!I14</f>
        <v>117.04500000000002</v>
      </c>
      <c r="D33" s="354">
        <f>'DCF Analysis '!J14</f>
        <v>105.34050000000001</v>
      </c>
      <c r="E33" s="354">
        <f>'DCF Analysis '!K14</f>
        <v>94.806449999999998</v>
      </c>
      <c r="F33" s="354">
        <f>'DCF Analysis '!L14</f>
        <v>85.325805000000003</v>
      </c>
    </row>
    <row r="34" spans="1:6">
      <c r="A34" s="264" t="s">
        <v>150</v>
      </c>
      <c r="B34" s="493"/>
      <c r="C34" s="354">
        <f>'DCF Analysis '!I15</f>
        <v>208.33200000000002</v>
      </c>
      <c r="D34" s="354">
        <f>'DCF Analysis '!J15</f>
        <v>187.49879999999999</v>
      </c>
      <c r="E34" s="354">
        <f>'DCF Analysis '!K15</f>
        <v>168.74892</v>
      </c>
      <c r="F34" s="354">
        <f>'DCF Analysis '!L15</f>
        <v>151.87402800000001</v>
      </c>
    </row>
    <row r="35" spans="1:6">
      <c r="A35" s="373" t="s">
        <v>70</v>
      </c>
      <c r="B35" s="493"/>
      <c r="C35" s="354">
        <f>'DCF Analysis '!I16</f>
        <v>505.26182873730045</v>
      </c>
      <c r="D35" s="354">
        <f>'DCF Analysis '!J16</f>
        <v>-4.7565457184325624</v>
      </c>
      <c r="E35" s="354">
        <f>'DCF Analysis '!K16</f>
        <v>-4.7565457184325055</v>
      </c>
      <c r="F35" s="354">
        <f>'DCF Analysis '!L16</f>
        <v>-4.7565457184324487</v>
      </c>
    </row>
    <row r="36" spans="1:6">
      <c r="A36" s="372"/>
      <c r="B36" s="493"/>
    </row>
    <row r="37" spans="1:6">
      <c r="A37" s="375" t="s">
        <v>149</v>
      </c>
      <c r="B37" s="497"/>
      <c r="C37" s="265">
        <f>'DCF Analysis '!I18</f>
        <v>709</v>
      </c>
      <c r="D37" s="265">
        <f>'DCF Analysis '!J18</f>
        <v>709</v>
      </c>
      <c r="E37" s="265">
        <f>'DCF Analysis '!K18</f>
        <v>709</v>
      </c>
      <c r="F37" s="265">
        <f>'DCF Analysis '!L18</f>
        <v>709</v>
      </c>
    </row>
    <row r="38" spans="1:6">
      <c r="A38" s="374" t="s">
        <v>148</v>
      </c>
      <c r="B38" s="494"/>
      <c r="C38" s="266">
        <v>1</v>
      </c>
      <c r="D38" s="266">
        <v>2</v>
      </c>
      <c r="E38" s="266">
        <v>3</v>
      </c>
      <c r="F38" s="266">
        <v>4</v>
      </c>
    </row>
    <row r="39" spans="1:6">
      <c r="A39" s="375" t="s">
        <v>138</v>
      </c>
      <c r="B39" s="494"/>
      <c r="C39" s="267" t="e">
        <f>1/(1+$B$18)^C38</f>
        <v>#REF!</v>
      </c>
      <c r="D39" s="267" t="e">
        <f t="shared" ref="D39:F39" si="2">1/(1+$B$18)^D38</f>
        <v>#REF!</v>
      </c>
      <c r="E39" s="267" t="e">
        <f t="shared" si="2"/>
        <v>#REF!</v>
      </c>
      <c r="F39" s="267" t="e">
        <f t="shared" si="2"/>
        <v>#REF!</v>
      </c>
    </row>
    <row r="40" spans="1:6">
      <c r="A40" s="379" t="s">
        <v>147</v>
      </c>
      <c r="B40" s="498" t="e">
        <f>SUM(C40:F40)</f>
        <v>#REF!</v>
      </c>
      <c r="C40" s="268" t="e">
        <f>C39*C37</f>
        <v>#REF!</v>
      </c>
      <c r="D40" s="268" t="e">
        <f t="shared" ref="D40:E40" si="3">D39*D37</f>
        <v>#REF!</v>
      </c>
      <c r="E40" s="268" t="e">
        <f t="shared" si="3"/>
        <v>#REF!</v>
      </c>
      <c r="F40" s="268" t="e">
        <f>F39*F37+(104.4*140.04*F39)</f>
        <v>#REF!</v>
      </c>
    </row>
    <row r="41" spans="1:6">
      <c r="A41" s="380"/>
      <c r="B41" s="124"/>
      <c r="C41" s="248" t="e">
        <f>C37/(1+$B$18)^C38</f>
        <v>#REF!</v>
      </c>
      <c r="D41" s="248" t="e">
        <f t="shared" ref="D41:F41" si="4">D37/(1+$B$18)^D38</f>
        <v>#REF!</v>
      </c>
      <c r="E41" s="248" t="e">
        <f t="shared" si="4"/>
        <v>#REF!</v>
      </c>
      <c r="F41" s="248" t="e">
        <f t="shared" si="4"/>
        <v>#REF!</v>
      </c>
    </row>
    <row r="42" spans="1:6">
      <c r="A42" s="260"/>
      <c r="B42" s="124"/>
    </row>
    <row r="43" spans="1:6">
      <c r="A43" s="376" t="s">
        <v>33</v>
      </c>
      <c r="B43" s="355"/>
      <c r="C43" s="356">
        <f>'Cost of Debt'!M9/1000000</f>
        <v>12500</v>
      </c>
      <c r="D43" s="356">
        <f>'Cost of Debt'!M9/1000000</f>
        <v>12500</v>
      </c>
      <c r="E43" s="356">
        <f>'Cost of Debt'!M9/1000000</f>
        <v>12500</v>
      </c>
      <c r="F43" s="356">
        <f>'Cost of Debt'!M9/1000000</f>
        <v>12500</v>
      </c>
    </row>
    <row r="44" spans="1:6">
      <c r="A44" s="376" t="s">
        <v>10</v>
      </c>
      <c r="B44" s="355"/>
      <c r="C44" s="356">
        <f>'Cost of Debt'!$O$9*APV!C43</f>
        <v>750</v>
      </c>
      <c r="D44" s="356">
        <f>'Cost of Debt'!$O$9*APV!D43</f>
        <v>750</v>
      </c>
      <c r="E44" s="356">
        <f>'Cost of Debt'!$O$9*APV!E43</f>
        <v>750</v>
      </c>
      <c r="F44" s="356">
        <f>'Cost of Debt'!$O$9*APV!F43</f>
        <v>750</v>
      </c>
    </row>
    <row r="45" spans="1:6">
      <c r="A45" s="376" t="s">
        <v>217</v>
      </c>
      <c r="B45" s="355"/>
      <c r="C45" s="592">
        <f>WACC!C5</f>
        <v>0.26500000000000001</v>
      </c>
      <c r="D45" s="593"/>
      <c r="E45" s="593"/>
      <c r="F45" s="593"/>
    </row>
    <row r="46" spans="1:6">
      <c r="A46" s="376" t="s">
        <v>218</v>
      </c>
      <c r="B46" s="124"/>
      <c r="C46" s="361">
        <f>C45*C44</f>
        <v>198.75</v>
      </c>
      <c r="D46" s="361">
        <f>C45*D44</f>
        <v>198.75</v>
      </c>
      <c r="E46" s="361">
        <f>C45*E44</f>
        <v>198.75</v>
      </c>
      <c r="F46" s="361">
        <f>C45*F44</f>
        <v>198.75</v>
      </c>
    </row>
    <row r="47" spans="1:6">
      <c r="A47" s="376" t="s">
        <v>330</v>
      </c>
      <c r="B47" s="495" t="e">
        <f>SUM(C47:F47)</f>
        <v>#REF!</v>
      </c>
      <c r="C47" s="361" t="e">
        <f>C46*C39</f>
        <v>#REF!</v>
      </c>
      <c r="D47" s="361" t="e">
        <f>D46*D39</f>
        <v>#REF!</v>
      </c>
      <c r="E47" s="361" t="e">
        <f>E46*E39</f>
        <v>#REF!</v>
      </c>
      <c r="F47" s="361" t="e">
        <f>F46*F39</f>
        <v>#REF!</v>
      </c>
    </row>
    <row r="48" spans="1:6">
      <c r="A48" s="378"/>
      <c r="B48" s="496"/>
      <c r="C48" s="357"/>
      <c r="D48" s="357"/>
      <c r="E48" s="357"/>
      <c r="F48" s="357"/>
    </row>
    <row r="49" spans="1:6">
      <c r="A49" s="377" t="s">
        <v>331</v>
      </c>
      <c r="B49" s="495" t="e">
        <f>B40+B47</f>
        <v>#REF!</v>
      </c>
      <c r="C49" s="357"/>
      <c r="D49" s="357"/>
      <c r="E49" s="357"/>
      <c r="F49" s="357"/>
    </row>
    <row r="50" spans="1:6">
      <c r="A50" s="355"/>
      <c r="B50" s="355"/>
      <c r="C50" s="357"/>
      <c r="D50" s="357"/>
      <c r="E50" s="357"/>
      <c r="F50" s="357"/>
    </row>
    <row r="51" spans="1:6">
      <c r="A51" s="355"/>
      <c r="B51" s="355"/>
      <c r="C51" s="357"/>
      <c r="D51" s="357"/>
      <c r="E51" s="357"/>
      <c r="F51" s="357"/>
    </row>
    <row r="52" spans="1:6">
      <c r="A52" s="355"/>
      <c r="B52" s="355"/>
      <c r="C52" s="357"/>
      <c r="D52" s="357"/>
      <c r="E52" s="357"/>
      <c r="F52" s="357"/>
    </row>
    <row r="53" spans="1:6">
      <c r="A53" s="11"/>
      <c r="B53" s="11"/>
      <c r="C53" s="357"/>
      <c r="D53" s="357"/>
      <c r="E53" s="357"/>
      <c r="F53" s="357"/>
    </row>
  </sheetData>
  <mergeCells count="8">
    <mergeCell ref="C45:F45"/>
    <mergeCell ref="B17:I17"/>
    <mergeCell ref="C22:F22"/>
    <mergeCell ref="B18:I18"/>
    <mergeCell ref="A3:A4"/>
    <mergeCell ref="B6:I6"/>
    <mergeCell ref="B7:I7"/>
    <mergeCell ref="B9:I9"/>
  </mergeCell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252D39"/>
  </sheetPr>
  <dimension ref="A1:K32"/>
  <sheetViews>
    <sheetView workbookViewId="0">
      <selection activeCell="D37" sqref="D37"/>
    </sheetView>
  </sheetViews>
  <sheetFormatPr defaultColWidth="8.85546875" defaultRowHeight="15"/>
  <cols>
    <col min="1" max="1" width="14.42578125" customWidth="1"/>
    <col min="2" max="2" width="12.28515625" customWidth="1"/>
    <col min="3" max="3" width="53.42578125" bestFit="1" customWidth="1"/>
    <col min="4" max="4" width="39.85546875" bestFit="1" customWidth="1"/>
    <col min="5" max="5" width="40.7109375" bestFit="1" customWidth="1"/>
    <col min="6" max="6" width="14.7109375" bestFit="1" customWidth="1"/>
    <col min="7" max="7" width="13.42578125" bestFit="1" customWidth="1"/>
    <col min="8" max="8" width="10.28515625" bestFit="1" customWidth="1"/>
    <col min="11" max="11" width="10.140625" bestFit="1" customWidth="1"/>
  </cols>
  <sheetData>
    <row r="1" spans="1:11" ht="30" customHeight="1">
      <c r="A1" s="467" t="s">
        <v>477</v>
      </c>
      <c r="B1" s="458" t="s">
        <v>476</v>
      </c>
      <c r="C1" s="460" t="s">
        <v>475</v>
      </c>
      <c r="D1" s="464" t="s">
        <v>474</v>
      </c>
      <c r="E1" s="469" t="s">
        <v>473</v>
      </c>
      <c r="F1" s="458" t="s">
        <v>472</v>
      </c>
      <c r="G1" s="461" t="s">
        <v>471</v>
      </c>
      <c r="H1" s="458" t="s">
        <v>470</v>
      </c>
      <c r="I1" s="502" t="s">
        <v>469</v>
      </c>
      <c r="J1" s="501" t="s">
        <v>468</v>
      </c>
      <c r="K1" s="461" t="s">
        <v>467</v>
      </c>
    </row>
    <row r="2" spans="1:11">
      <c r="A2" s="79">
        <v>41862</v>
      </c>
      <c r="B2" s="500" t="s">
        <v>91</v>
      </c>
      <c r="C2" s="79" t="s">
        <v>466</v>
      </c>
      <c r="D2" s="77" t="s">
        <v>465</v>
      </c>
      <c r="E2" s="77" t="s">
        <v>464</v>
      </c>
      <c r="F2" s="87">
        <v>210</v>
      </c>
      <c r="G2" s="87">
        <v>210</v>
      </c>
      <c r="H2" s="88">
        <v>2.6724000000000001</v>
      </c>
      <c r="I2" s="503">
        <v>9.9555000000000007</v>
      </c>
      <c r="J2" s="396">
        <v>19.25</v>
      </c>
      <c r="K2" s="500" t="s">
        <v>91</v>
      </c>
    </row>
    <row r="3" spans="1:11">
      <c r="A3" s="79">
        <v>41806</v>
      </c>
      <c r="B3" s="79">
        <v>41858</v>
      </c>
      <c r="C3" s="500" t="s">
        <v>91</v>
      </c>
      <c r="D3" s="77" t="s">
        <v>463</v>
      </c>
      <c r="E3" s="77" t="s">
        <v>462</v>
      </c>
      <c r="F3" s="87">
        <v>190</v>
      </c>
      <c r="G3" s="87">
        <v>192.749</v>
      </c>
      <c r="H3" s="88">
        <v>1.3327</v>
      </c>
      <c r="I3" s="503">
        <v>11.317500000000001</v>
      </c>
      <c r="J3" s="396">
        <v>48.247599999999998</v>
      </c>
      <c r="K3" s="88"/>
    </row>
    <row r="4" spans="1:11">
      <c r="A4" s="79">
        <v>41760</v>
      </c>
      <c r="B4" s="79">
        <v>41792</v>
      </c>
      <c r="C4" s="500" t="s">
        <v>91</v>
      </c>
      <c r="D4" s="77" t="s">
        <v>461</v>
      </c>
      <c r="E4" s="77" t="s">
        <v>460</v>
      </c>
      <c r="F4" s="87">
        <v>280</v>
      </c>
      <c r="G4" s="87">
        <v>280.19029999999998</v>
      </c>
      <c r="H4" s="88">
        <v>2.2231000000000001</v>
      </c>
      <c r="I4" s="504">
        <v>9.5886999999999993</v>
      </c>
      <c r="J4" s="396">
        <v>12.300599999999999</v>
      </c>
      <c r="K4" s="88">
        <v>15.899900000000001</v>
      </c>
    </row>
    <row r="5" spans="1:11">
      <c r="A5" s="462">
        <v>41733</v>
      </c>
      <c r="B5" s="462">
        <v>41823</v>
      </c>
      <c r="C5" s="466" t="s">
        <v>459</v>
      </c>
      <c r="D5" s="399" t="s">
        <v>458</v>
      </c>
      <c r="E5" s="399" t="s">
        <v>457</v>
      </c>
      <c r="F5" s="468">
        <v>3940</v>
      </c>
      <c r="G5" s="468">
        <v>3940.4553000000001</v>
      </c>
      <c r="H5" s="465">
        <v>1.8322000000000001</v>
      </c>
      <c r="I5" s="505">
        <v>10.024100000000001</v>
      </c>
      <c r="J5" s="457">
        <v>16.363600000000002</v>
      </c>
      <c r="K5" s="500" t="s">
        <v>91</v>
      </c>
    </row>
    <row r="6" spans="1:11">
      <c r="A6" s="79">
        <v>41691</v>
      </c>
      <c r="B6" s="79">
        <v>41795</v>
      </c>
      <c r="C6" s="500" t="s">
        <v>91</v>
      </c>
      <c r="D6" s="77" t="s">
        <v>429</v>
      </c>
      <c r="E6" s="77" t="s">
        <v>456</v>
      </c>
      <c r="F6" s="87">
        <v>6660</v>
      </c>
      <c r="G6" s="87">
        <v>16900.29</v>
      </c>
      <c r="H6" s="88">
        <v>1.6546000000000001</v>
      </c>
      <c r="I6" s="503">
        <v>13.276</v>
      </c>
      <c r="J6" s="396">
        <v>17.883900000000001</v>
      </c>
      <c r="K6" s="88">
        <v>25.695499999999999</v>
      </c>
    </row>
    <row r="7" spans="1:11">
      <c r="A7" s="79">
        <v>41680</v>
      </c>
      <c r="B7" s="500" t="s">
        <v>91</v>
      </c>
      <c r="C7" s="77" t="s">
        <v>455</v>
      </c>
      <c r="D7" s="77" t="s">
        <v>454</v>
      </c>
      <c r="E7" s="77" t="s">
        <v>453</v>
      </c>
      <c r="F7" s="87">
        <v>1400</v>
      </c>
      <c r="G7" s="87">
        <v>1400</v>
      </c>
      <c r="H7" s="88">
        <v>0.95489999999999997</v>
      </c>
      <c r="I7" s="503">
        <v>7.0731000000000002</v>
      </c>
      <c r="J7" s="500" t="s">
        <v>91</v>
      </c>
      <c r="K7" s="500" t="s">
        <v>91</v>
      </c>
    </row>
    <row r="8" spans="1:11">
      <c r="A8" s="470">
        <v>41640</v>
      </c>
      <c r="B8" s="470">
        <v>41660</v>
      </c>
      <c r="C8" s="459" t="s">
        <v>452</v>
      </c>
      <c r="D8" s="459" t="s">
        <v>451</v>
      </c>
      <c r="E8" s="459" t="s">
        <v>450</v>
      </c>
      <c r="F8" s="463">
        <v>2651</v>
      </c>
      <c r="G8" s="463">
        <v>5631.3401000000003</v>
      </c>
      <c r="H8" s="419">
        <v>0.1075</v>
      </c>
      <c r="I8" s="506">
        <v>1.3098000000000001</v>
      </c>
      <c r="J8" s="420">
        <v>2.4409999999999998</v>
      </c>
      <c r="K8" s="419">
        <v>3.1932</v>
      </c>
    </row>
    <row r="9" spans="1:11">
      <c r="A9" s="79">
        <v>41629</v>
      </c>
      <c r="B9" s="79">
        <v>41629</v>
      </c>
      <c r="C9" s="77" t="s">
        <v>449</v>
      </c>
      <c r="D9" s="79" t="s">
        <v>448</v>
      </c>
      <c r="E9" s="77" t="s">
        <v>447</v>
      </c>
      <c r="F9" s="87">
        <v>228</v>
      </c>
      <c r="G9" s="87">
        <v>8027.14</v>
      </c>
      <c r="H9" s="88">
        <v>1.3221000000000001</v>
      </c>
      <c r="I9" s="503">
        <v>7.5510999999999999</v>
      </c>
      <c r="J9" s="396">
        <v>10.280799999999999</v>
      </c>
      <c r="K9" s="88">
        <v>15.037100000000001</v>
      </c>
    </row>
    <row r="10" spans="1:11">
      <c r="A10" s="79">
        <v>41449</v>
      </c>
      <c r="B10" s="79">
        <v>41463</v>
      </c>
      <c r="C10" s="77" t="s">
        <v>446</v>
      </c>
      <c r="D10" s="77" t="s">
        <v>445</v>
      </c>
      <c r="E10" s="77" t="s">
        <v>444</v>
      </c>
      <c r="F10" s="87">
        <v>255</v>
      </c>
      <c r="G10" s="87">
        <v>225.1985</v>
      </c>
      <c r="H10" s="88">
        <v>0.46479999999999999</v>
      </c>
      <c r="I10" s="503">
        <v>8.6587999999999994</v>
      </c>
      <c r="J10" s="396">
        <v>8.6587999999999994</v>
      </c>
      <c r="K10" s="88">
        <v>11.950900000000001</v>
      </c>
    </row>
    <row r="11" spans="1:11">
      <c r="A11" s="79">
        <v>41431</v>
      </c>
      <c r="B11" s="79">
        <v>41471</v>
      </c>
      <c r="C11" s="500" t="s">
        <v>91</v>
      </c>
      <c r="D11" s="77" t="s">
        <v>429</v>
      </c>
      <c r="E11" s="77" t="s">
        <v>443</v>
      </c>
      <c r="F11" s="87">
        <v>2847</v>
      </c>
      <c r="G11" s="87">
        <v>15560.42</v>
      </c>
      <c r="H11" s="88">
        <v>0.98660000000000003</v>
      </c>
      <c r="I11" s="503">
        <v>11.708399999999999</v>
      </c>
      <c r="J11" s="396">
        <v>24.976600000000001</v>
      </c>
      <c r="K11" s="88">
        <v>67.408299999999997</v>
      </c>
    </row>
    <row r="12" spans="1:11">
      <c r="A12" s="79">
        <v>41389</v>
      </c>
      <c r="B12" s="79">
        <v>41395</v>
      </c>
      <c r="C12" s="77" t="s">
        <v>442</v>
      </c>
      <c r="D12" s="77" t="s">
        <v>441</v>
      </c>
      <c r="E12" s="77" t="s">
        <v>440</v>
      </c>
      <c r="F12" s="87">
        <v>210</v>
      </c>
      <c r="G12" s="87">
        <v>210</v>
      </c>
      <c r="H12" s="88">
        <v>0.72919999999999996</v>
      </c>
      <c r="I12" s="503">
        <v>8.75</v>
      </c>
      <c r="J12" s="500" t="s">
        <v>91</v>
      </c>
      <c r="K12" s="500" t="s">
        <v>91</v>
      </c>
    </row>
    <row r="13" spans="1:11">
      <c r="A13" s="79">
        <v>41303</v>
      </c>
      <c r="B13" s="79">
        <v>41423</v>
      </c>
      <c r="C13" s="77" t="s">
        <v>439</v>
      </c>
      <c r="D13" s="77" t="s">
        <v>438</v>
      </c>
      <c r="E13" s="77" t="s">
        <v>437</v>
      </c>
      <c r="F13" s="87">
        <v>140</v>
      </c>
      <c r="G13" s="87">
        <v>140.292</v>
      </c>
      <c r="H13" s="88">
        <v>0.47010000000000002</v>
      </c>
      <c r="I13" s="503">
        <v>6.9318</v>
      </c>
      <c r="J13" s="396">
        <v>12.5755</v>
      </c>
      <c r="K13" s="88">
        <v>17.200900000000001</v>
      </c>
    </row>
    <row r="14" spans="1:11">
      <c r="A14" s="79">
        <v>41183</v>
      </c>
      <c r="B14" s="79">
        <v>41243</v>
      </c>
      <c r="C14" s="77" t="s">
        <v>436</v>
      </c>
      <c r="D14" s="77" t="s">
        <v>435</v>
      </c>
      <c r="E14" s="77" t="s">
        <v>434</v>
      </c>
      <c r="F14" s="87">
        <v>308</v>
      </c>
      <c r="G14" s="87">
        <v>308</v>
      </c>
      <c r="H14" s="88">
        <v>1.0266999999999999</v>
      </c>
      <c r="I14" s="503">
        <v>7.7648000000000001</v>
      </c>
      <c r="J14" s="396">
        <v>22.023599999999998</v>
      </c>
      <c r="K14" s="88">
        <v>1021.774</v>
      </c>
    </row>
    <row r="15" spans="1:11">
      <c r="A15" s="79">
        <v>41116</v>
      </c>
      <c r="B15" s="79">
        <v>41331</v>
      </c>
      <c r="C15" s="77" t="s">
        <v>433</v>
      </c>
      <c r="D15" s="77" t="s">
        <v>432</v>
      </c>
      <c r="E15" s="77" t="s">
        <v>431</v>
      </c>
      <c r="F15" s="87">
        <v>2597</v>
      </c>
      <c r="G15" s="87">
        <v>2596.92</v>
      </c>
      <c r="H15" s="88">
        <v>0.83140000000000003</v>
      </c>
      <c r="I15" s="503">
        <v>8.5173000000000005</v>
      </c>
      <c r="J15" s="396">
        <v>9.7591999999999999</v>
      </c>
      <c r="K15" s="88">
        <v>19.035499999999999</v>
      </c>
    </row>
    <row r="16" spans="1:11">
      <c r="A16" s="79">
        <v>41094</v>
      </c>
      <c r="B16" s="79">
        <v>41122</v>
      </c>
      <c r="C16" s="77" t="s">
        <v>430</v>
      </c>
      <c r="D16" s="77" t="s">
        <v>429</v>
      </c>
      <c r="E16" s="77" t="s">
        <v>428</v>
      </c>
      <c r="F16" s="87">
        <v>11353</v>
      </c>
      <c r="G16" s="87">
        <v>15795.2</v>
      </c>
      <c r="H16" s="88">
        <v>1.4454</v>
      </c>
      <c r="I16" s="503">
        <v>5.4166999999999996</v>
      </c>
      <c r="J16" s="396">
        <v>7.7237999999999998</v>
      </c>
      <c r="K16" s="88">
        <v>6.0974000000000004</v>
      </c>
    </row>
    <row r="17" spans="1:11">
      <c r="A17" s="79">
        <v>41073</v>
      </c>
      <c r="B17" s="79">
        <v>41165</v>
      </c>
      <c r="C17" s="77" t="s">
        <v>427</v>
      </c>
      <c r="D17" s="77" t="s">
        <v>426</v>
      </c>
      <c r="E17" s="77" t="s">
        <v>425</v>
      </c>
      <c r="F17" s="87">
        <v>130</v>
      </c>
      <c r="G17" s="87">
        <v>835.16700000000003</v>
      </c>
      <c r="H17" s="88">
        <v>0.54620000000000002</v>
      </c>
      <c r="I17" s="503">
        <v>5.21</v>
      </c>
      <c r="J17" s="396">
        <v>9.1575000000000006</v>
      </c>
      <c r="K17" s="88">
        <v>10.315799999999999</v>
      </c>
    </row>
    <row r="18" spans="1:11">
      <c r="A18" s="79">
        <v>41017</v>
      </c>
      <c r="B18" s="79">
        <v>41109</v>
      </c>
      <c r="C18" s="77" t="s">
        <v>424</v>
      </c>
      <c r="D18" s="77" t="s">
        <v>423</v>
      </c>
      <c r="E18" s="77" t="s">
        <v>422</v>
      </c>
      <c r="F18" s="87">
        <v>860</v>
      </c>
      <c r="G18" s="87">
        <v>860</v>
      </c>
      <c r="H18" s="88">
        <v>1.9865999999999999</v>
      </c>
      <c r="I18" s="503">
        <v>10.4421</v>
      </c>
      <c r="J18" s="396">
        <v>17.1342</v>
      </c>
      <c r="K18" s="88">
        <v>21.3901</v>
      </c>
    </row>
    <row r="19" spans="1:11">
      <c r="A19" s="79">
        <v>40984</v>
      </c>
      <c r="B19" s="79">
        <v>41023</v>
      </c>
      <c r="C19" s="77" t="s">
        <v>421</v>
      </c>
      <c r="D19" s="77" t="s">
        <v>420</v>
      </c>
      <c r="E19" s="77" t="s">
        <v>419</v>
      </c>
      <c r="F19" s="87">
        <v>383</v>
      </c>
      <c r="G19" s="87">
        <v>383.44720000000001</v>
      </c>
      <c r="H19" s="88">
        <v>1.1196999999999999</v>
      </c>
      <c r="I19" s="503">
        <v>6.6447000000000003</v>
      </c>
      <c r="J19" s="500" t="s">
        <v>91</v>
      </c>
      <c r="K19" s="500" t="s">
        <v>91</v>
      </c>
    </row>
    <row r="20" spans="1:11">
      <c r="A20" s="231" t="s">
        <v>209</v>
      </c>
      <c r="B20" s="231"/>
      <c r="C20" s="231"/>
      <c r="D20" s="231"/>
      <c r="E20" s="231"/>
      <c r="F20" s="231"/>
      <c r="G20" s="231"/>
      <c r="H20" s="395">
        <f>AVERAGE(H2:H19)</f>
        <v>1.2059000000000002</v>
      </c>
      <c r="I20" s="507">
        <f>AVERAGE(I2:I7,I9:I19)</f>
        <v>8.7547411764705885</v>
      </c>
      <c r="J20" s="421">
        <f>AVERAGE(J2:J19)</f>
        <v>15.918446666666666</v>
      </c>
      <c r="K20" s="395">
        <f>AVERAGE(K2:K7,K9:K19)</f>
        <v>111.98230909090911</v>
      </c>
    </row>
    <row r="21" spans="1:11">
      <c r="A21" s="231" t="s">
        <v>43</v>
      </c>
      <c r="B21" s="231"/>
      <c r="C21" s="231"/>
      <c r="D21" s="231"/>
      <c r="E21" s="231"/>
      <c r="F21" s="231"/>
      <c r="G21" s="231"/>
      <c r="H21" s="395">
        <f>MEDIAN(H2:H19)</f>
        <v>1.0731999999999999</v>
      </c>
      <c r="I21" s="507">
        <f>MEDIAN(I2:I7,I9:I19)</f>
        <v>8.6587999999999994</v>
      </c>
      <c r="J21" s="421">
        <f>MEDIAN(J2:J19)</f>
        <v>12.5755</v>
      </c>
      <c r="K21" s="395">
        <f>MEDIAN(K2:K7,K9:K19)</f>
        <v>17.200900000000001</v>
      </c>
    </row>
    <row r="22" spans="1:11">
      <c r="A22" s="77"/>
      <c r="B22" s="77"/>
      <c r="C22" s="77"/>
      <c r="D22" s="77"/>
      <c r="E22" s="77"/>
      <c r="F22" s="77"/>
      <c r="G22" s="77"/>
      <c r="H22" s="401"/>
      <c r="I22" s="508"/>
      <c r="J22" s="86"/>
      <c r="K22" s="401"/>
    </row>
    <row r="23" spans="1:11">
      <c r="A23" s="231" t="s">
        <v>122</v>
      </c>
      <c r="B23" s="231"/>
      <c r="C23" s="231"/>
      <c r="D23" s="231"/>
      <c r="E23" s="231"/>
      <c r="F23" s="231"/>
      <c r="G23" s="231"/>
      <c r="H23" s="395">
        <f>MAX(H2:H19)</f>
        <v>2.6724000000000001</v>
      </c>
      <c r="I23" s="507">
        <f>MAX(I2:I7,I9:I19)</f>
        <v>13.276</v>
      </c>
      <c r="J23" s="421">
        <f>MAX(J2:J7,J9:J19)</f>
        <v>48.247599999999998</v>
      </c>
      <c r="K23" s="395">
        <f>MAX(K2:K7,K9:K19)</f>
        <v>1021.774</v>
      </c>
    </row>
    <row r="24" spans="1:11">
      <c r="A24" s="231" t="s">
        <v>121</v>
      </c>
      <c r="B24" s="231"/>
      <c r="C24" s="231"/>
      <c r="D24" s="231"/>
      <c r="E24" s="231"/>
      <c r="F24" s="231"/>
      <c r="G24" s="231"/>
      <c r="H24" s="395">
        <f>MIN(H2:H19)</f>
        <v>0.1075</v>
      </c>
      <c r="I24" s="507">
        <f>MIN(I2:I7,I9:I19)</f>
        <v>5.21</v>
      </c>
      <c r="J24" s="421">
        <f>MIN(J2:J7,J9:J19)</f>
        <v>7.7237999999999998</v>
      </c>
      <c r="K24" s="395">
        <f>MIN(K2:K7,K9:K19)</f>
        <v>6.0974000000000004</v>
      </c>
    </row>
    <row r="25" spans="1:11">
      <c r="A25" s="77"/>
      <c r="B25" s="349" t="s">
        <v>53</v>
      </c>
      <c r="C25" s="77" t="s">
        <v>418</v>
      </c>
      <c r="D25" s="77"/>
      <c r="E25" s="77"/>
      <c r="F25" s="77"/>
      <c r="G25" s="77"/>
      <c r="H25" s="77"/>
      <c r="I25" s="509"/>
      <c r="J25" s="32"/>
      <c r="K25" s="77"/>
    </row>
    <row r="26" spans="1:11">
      <c r="A26" s="586" t="s">
        <v>417</v>
      </c>
      <c r="B26" s="586"/>
      <c r="C26" s="586"/>
      <c r="D26" s="77"/>
      <c r="E26" s="77"/>
      <c r="F26" s="77"/>
      <c r="G26" s="77"/>
      <c r="H26" s="77"/>
      <c r="I26" s="77"/>
      <c r="J26" s="77"/>
      <c r="K26" s="77"/>
    </row>
    <row r="27" spans="1:11">
      <c r="A27" s="586" t="s">
        <v>416</v>
      </c>
      <c r="B27" s="586"/>
      <c r="C27" s="586"/>
      <c r="D27" s="77"/>
      <c r="E27" s="77"/>
      <c r="F27" s="77"/>
      <c r="G27" s="77"/>
      <c r="H27" s="77"/>
      <c r="I27" s="77"/>
      <c r="J27" s="77"/>
      <c r="K27" s="77"/>
    </row>
    <row r="28" spans="1:11">
      <c r="A28" s="84"/>
      <c r="B28" s="397">
        <f>'Income Statement'!F13*'Comparable Transactions'!I23</f>
        <v>1141.7359999999999</v>
      </c>
      <c r="C28" s="81" t="s">
        <v>122</v>
      </c>
      <c r="D28" s="77"/>
      <c r="E28" s="77"/>
      <c r="F28" s="77"/>
      <c r="G28" s="77"/>
      <c r="H28" s="77"/>
      <c r="I28" s="77"/>
      <c r="J28" s="77"/>
      <c r="K28" s="77"/>
    </row>
    <row r="29" spans="1:11">
      <c r="A29" s="84"/>
      <c r="B29" s="397">
        <f>'Income Statement'!F13*'Comparable Transactions'!I24</f>
        <v>448.06</v>
      </c>
      <c r="C29" s="81" t="s">
        <v>121</v>
      </c>
      <c r="D29" s="77"/>
      <c r="E29" s="77"/>
      <c r="F29" s="77"/>
      <c r="G29" s="77"/>
      <c r="H29" s="77"/>
      <c r="I29" s="77"/>
      <c r="J29" s="77"/>
      <c r="K29" s="77"/>
    </row>
    <row r="30" spans="1:1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>
      <c r="A31" s="77"/>
      <c r="B31" s="77"/>
      <c r="C31" s="32"/>
      <c r="D31" s="88"/>
      <c r="E31" s="88"/>
      <c r="F31" s="77"/>
      <c r="G31" s="77"/>
      <c r="H31" s="77"/>
      <c r="I31" s="77"/>
      <c r="J31" s="77"/>
      <c r="K31" s="77"/>
    </row>
    <row r="32" spans="1:11">
      <c r="A32" s="77"/>
      <c r="B32" s="77"/>
      <c r="C32" s="77"/>
      <c r="D32" s="88"/>
      <c r="E32" s="88"/>
      <c r="F32" s="77"/>
      <c r="G32" s="77"/>
      <c r="H32" s="77"/>
      <c r="I32" s="77"/>
      <c r="J32" s="77"/>
      <c r="K32" s="77"/>
    </row>
  </sheetData>
  <mergeCells count="2">
    <mergeCell ref="A26:C26"/>
    <mergeCell ref="A27:C27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rgb="FF252D39"/>
  </sheetPr>
  <dimension ref="A1:M119"/>
  <sheetViews>
    <sheetView showGridLines="0" zoomScale="85" zoomScaleNormal="85" zoomScalePageLayoutView="85" workbookViewId="0">
      <selection activeCell="H14" sqref="H14"/>
    </sheetView>
  </sheetViews>
  <sheetFormatPr defaultColWidth="12.42578125" defaultRowHeight="14.25"/>
  <cols>
    <col min="1" max="1" width="35.28515625" style="148" bestFit="1" customWidth="1"/>
    <col min="2" max="2" width="18.42578125" style="148" customWidth="1"/>
    <col min="3" max="3" width="13.42578125" style="148" customWidth="1"/>
    <col min="4" max="4" width="12.42578125" style="148"/>
    <col min="5" max="5" width="29" style="148" bestFit="1" customWidth="1"/>
    <col min="6" max="6" width="20.42578125" style="148" bestFit="1" customWidth="1"/>
    <col min="7" max="10" width="11.42578125" style="148" customWidth="1"/>
    <col min="11" max="16384" width="12.42578125" style="148"/>
  </cols>
  <sheetData>
    <row r="1" spans="1:11" ht="15">
      <c r="A1" s="314" t="s">
        <v>201</v>
      </c>
      <c r="B1" s="314"/>
      <c r="C1" s="314"/>
      <c r="D1" s="314"/>
      <c r="E1" s="314"/>
      <c r="F1" s="314"/>
      <c r="G1" s="602" t="s">
        <v>202</v>
      </c>
      <c r="H1" s="602"/>
      <c r="I1" s="602"/>
      <c r="J1" s="319" t="s">
        <v>6</v>
      </c>
    </row>
    <row r="2" spans="1:11" ht="30">
      <c r="A2" s="149" t="s">
        <v>203</v>
      </c>
      <c r="B2" s="149" t="s">
        <v>204</v>
      </c>
      <c r="C2" s="150" t="s">
        <v>205</v>
      </c>
      <c r="D2" s="150" t="s">
        <v>206</v>
      </c>
      <c r="E2" s="150" t="s">
        <v>207</v>
      </c>
      <c r="F2" s="150" t="s">
        <v>130</v>
      </c>
      <c r="G2" s="151" t="s">
        <v>588</v>
      </c>
      <c r="H2" s="152" t="s">
        <v>589</v>
      </c>
      <c r="I2" s="520" t="s">
        <v>590</v>
      </c>
      <c r="J2" s="517" t="s">
        <v>208</v>
      </c>
    </row>
    <row r="3" spans="1:11">
      <c r="G3" s="153"/>
      <c r="H3" s="155"/>
      <c r="I3" s="521"/>
      <c r="J3" s="154"/>
    </row>
    <row r="4" spans="1:11" ht="15">
      <c r="A4" s="314"/>
      <c r="B4" s="315"/>
      <c r="C4" s="315"/>
      <c r="D4" s="315"/>
      <c r="E4" s="315"/>
      <c r="F4" s="315"/>
      <c r="G4" s="316"/>
      <c r="H4" s="317"/>
      <c r="I4" s="522"/>
      <c r="J4" s="315"/>
    </row>
    <row r="5" spans="1:11">
      <c r="A5" s="148" t="str">
        <f>Daimler!D2</f>
        <v>Daimler</v>
      </c>
      <c r="B5" s="148" t="str">
        <f>Daimler!D3</f>
        <v>DAI</v>
      </c>
      <c r="C5" s="156">
        <f>Daimler!D12</f>
        <v>86.92</v>
      </c>
      <c r="D5" s="157">
        <f>Daimler!D13</f>
        <v>0.99793340987370849</v>
      </c>
      <c r="E5" s="158">
        <f>Daimler!D19</f>
        <v>92987.016000000003</v>
      </c>
      <c r="F5" s="158">
        <f>Daimler!D24</f>
        <v>207089.016</v>
      </c>
      <c r="G5" s="159">
        <f>Daimler!D29</f>
        <v>1.755259412452747</v>
      </c>
      <c r="H5" s="161">
        <f>Daimler!D31</f>
        <v>18.51323225460397</v>
      </c>
      <c r="I5" s="162">
        <f>Daimler!D33</f>
        <v>30.373865649750659</v>
      </c>
      <c r="J5" s="160">
        <f>Daimler!D35</f>
        <v>9.83</v>
      </c>
    </row>
    <row r="6" spans="1:11">
      <c r="A6" s="148" t="str">
        <f>Paccar!D2</f>
        <v>Paccar</v>
      </c>
      <c r="B6" s="148" t="str">
        <f>Paccar!D3</f>
        <v>PCAR</v>
      </c>
      <c r="C6" s="156">
        <f>Paccar!D12</f>
        <v>58.36</v>
      </c>
      <c r="D6" s="157">
        <f>Paccar!D13</f>
        <v>1</v>
      </c>
      <c r="E6" s="158">
        <f>Paccar!D19*B22</f>
        <v>15037.600773999999</v>
      </c>
      <c r="F6" s="158">
        <f>Paccar!D24*B22</f>
        <v>23076.168024000002</v>
      </c>
      <c r="G6" s="159">
        <f>Paccar!D29</f>
        <v>1.9934164738634015</v>
      </c>
      <c r="H6" s="161">
        <f>Paccar!D31</f>
        <v>6.4718167938931304</v>
      </c>
      <c r="I6" s="162">
        <f>Paccar!D33</f>
        <v>7.3904088890955171</v>
      </c>
      <c r="J6" s="160">
        <f>Paccar!D35</f>
        <v>5.2651401560395437</v>
      </c>
      <c r="K6" s="148" t="s">
        <v>314</v>
      </c>
    </row>
    <row r="7" spans="1:11">
      <c r="A7" s="148" t="str">
        <f>Oshkosh!D2</f>
        <v>Oshkosh Corp</v>
      </c>
      <c r="B7" s="148" t="str">
        <f>Oshkosh!D3</f>
        <v>OSK</v>
      </c>
      <c r="C7" s="156">
        <f>Oshkosh!D12</f>
        <v>49.76</v>
      </c>
      <c r="D7" s="157">
        <f>Oshkosh!D13</f>
        <v>0.94385432473444608</v>
      </c>
      <c r="E7" s="158">
        <f>Oshkosh!D19*B22</f>
        <v>3069.9705679999993</v>
      </c>
      <c r="F7" s="158">
        <f>Oshkosh!D24*B22</f>
        <v>4466.3949049999992</v>
      </c>
      <c r="G7" s="159">
        <f>Oshkosh!D29</f>
        <v>0.80279448409022702</v>
      </c>
      <c r="H7" s="161">
        <f>Oshkosh!D31</f>
        <v>10.943446558776447</v>
      </c>
      <c r="I7" s="162">
        <f>Oshkosh!D33</f>
        <v>12.168281589875411</v>
      </c>
      <c r="J7" s="160">
        <f>Oshkosh!D35</f>
        <v>13.31738035264482</v>
      </c>
      <c r="K7" s="148" t="s">
        <v>314</v>
      </c>
    </row>
    <row r="8" spans="1:11">
      <c r="A8" s="148" t="str">
        <f>Scania!C2</f>
        <v>Scania</v>
      </c>
      <c r="B8" s="327" t="str">
        <f>Scania!C3</f>
        <v>SCN</v>
      </c>
      <c r="C8" s="156">
        <f>Scania!C12</f>
        <v>125</v>
      </c>
      <c r="D8" s="157">
        <f>Scania!C13</f>
        <v>0.83333333333333337</v>
      </c>
      <c r="E8" s="158">
        <f>(Scania!C19)*B23</f>
        <v>11568.3</v>
      </c>
      <c r="F8" s="158">
        <f>Scania!C24*B23</f>
        <v>19827.025052999998</v>
      </c>
      <c r="G8" s="159">
        <f>Scania!C28</f>
        <v>1.973482100705839</v>
      </c>
      <c r="H8" s="161">
        <f>Scania!C30</f>
        <v>16.070417252695734</v>
      </c>
      <c r="I8" s="162">
        <f>Scania!C32</f>
        <v>22.154989658738366</v>
      </c>
      <c r="J8" s="160">
        <f>Scania!C34</f>
        <v>20.618556701030929</v>
      </c>
      <c r="K8" s="148" t="s">
        <v>314</v>
      </c>
    </row>
    <row r="9" spans="1:11">
      <c r="A9" s="148" t="str">
        <f>Dongfeng!D2</f>
        <v>Dongfeng</v>
      </c>
      <c r="B9" s="339">
        <v>489</v>
      </c>
      <c r="C9" s="156">
        <f>Dongfeng!D12</f>
        <v>12.14</v>
      </c>
      <c r="D9" s="157"/>
      <c r="E9" s="158">
        <f>Dongfeng!D19*B24</f>
        <v>12571.837558392002</v>
      </c>
      <c r="F9" s="158">
        <f>Dongfeng!D24*B24</f>
        <v>18668.006567392007</v>
      </c>
      <c r="G9" s="159">
        <f>Dongfeng!D29</f>
        <v>4.1682311354426655</v>
      </c>
      <c r="H9" s="161">
        <f>Dongfeng!D31</f>
        <v>13.298013424657539</v>
      </c>
      <c r="I9" s="162">
        <f>Dongfeng!D33</f>
        <v>14.273184782209157</v>
      </c>
      <c r="J9" s="160">
        <f>Dongfeng!D35</f>
        <v>14.648759483165145</v>
      </c>
      <c r="K9" s="148" t="s">
        <v>314</v>
      </c>
    </row>
    <row r="10" spans="1:11">
      <c r="A10" s="148" t="s">
        <v>313</v>
      </c>
      <c r="B10" s="327" t="str">
        <f>Navistar!D3</f>
        <v>NAV</v>
      </c>
      <c r="C10" s="156">
        <f>Navistar!D12</f>
        <v>38.19</v>
      </c>
      <c r="D10" s="157"/>
      <c r="E10" s="328">
        <f>Navistar!D19*B22</f>
        <v>2228.6435950800001</v>
      </c>
      <c r="F10" s="158">
        <f>Navistar!D24*B22</f>
        <v>10368.827045079999</v>
      </c>
      <c r="G10" s="159">
        <f>Navistar!D29</f>
        <v>1.3257982366589327</v>
      </c>
      <c r="H10" s="161">
        <f>Navistar!D31</f>
        <v>-38.505326145552566</v>
      </c>
      <c r="I10" s="162">
        <f>Navistar!D33</f>
        <v>-21.87668606431853</v>
      </c>
      <c r="J10" s="160">
        <f>Navistar!D35</f>
        <v>-3.5825515947467164</v>
      </c>
      <c r="K10" s="148" t="s">
        <v>314</v>
      </c>
    </row>
    <row r="11" spans="1:11">
      <c r="A11" s="148" t="str">
        <f>Deutz!D2</f>
        <v>Deutz</v>
      </c>
      <c r="B11" s="327" t="str">
        <f>Deutz!D3</f>
        <v>DEZ</v>
      </c>
      <c r="C11" s="156">
        <f>Deutz!D12</f>
        <v>3.81</v>
      </c>
      <c r="D11" s="157">
        <f>Deutz!D13</f>
        <v>0.51626016260162599</v>
      </c>
      <c r="E11" s="328">
        <f>Deutz!D19</f>
        <v>460.48421999999999</v>
      </c>
      <c r="F11" s="158">
        <f>Deutz!D24</f>
        <v>1065.7312199999999</v>
      </c>
      <c r="G11" s="159">
        <f>Deutz!D29</f>
        <v>0.73336857968620961</v>
      </c>
      <c r="H11" s="161">
        <f>Deutz!D31</f>
        <v>7.5051494366197202</v>
      </c>
      <c r="I11" s="162">
        <f>Deutz!D33</f>
        <v>22.436446736842129</v>
      </c>
      <c r="J11" s="160">
        <f>Deutz!D35</f>
        <v>9.83</v>
      </c>
    </row>
    <row r="12" spans="1:11">
      <c r="A12" s="148" t="str">
        <f>Dürr!D2</f>
        <v>Dürr</v>
      </c>
      <c r="B12" s="327" t="str">
        <f>Dürr!D3</f>
        <v>DUE</v>
      </c>
      <c r="C12" s="156">
        <f>Dürr!D12</f>
        <v>64.81</v>
      </c>
      <c r="D12" s="157">
        <f>Dürr!D13</f>
        <v>0.93750904093736454</v>
      </c>
      <c r="E12" s="328">
        <f>Dürr!D19/1000</f>
        <v>2242.4908100000002</v>
      </c>
      <c r="F12" s="158">
        <f>Dürr!D24/1000</f>
        <v>3263.06781</v>
      </c>
      <c r="G12" s="159">
        <f>Dürr!D29</f>
        <v>1.355729118237647</v>
      </c>
      <c r="H12" s="161">
        <f>Dürr!D31</f>
        <v>14.093559813241537</v>
      </c>
      <c r="I12" s="162">
        <f>Dürr!D33</f>
        <v>16.074938347020311</v>
      </c>
      <c r="J12" s="160">
        <f>Dürr!D35</f>
        <v>9.83</v>
      </c>
    </row>
    <row r="13" spans="1:11" ht="15">
      <c r="A13" s="163" t="s">
        <v>209</v>
      </c>
      <c r="B13" s="164"/>
      <c r="C13" s="164"/>
      <c r="D13" s="165"/>
      <c r="E13" s="166"/>
      <c r="F13" s="527"/>
      <c r="G13" s="167">
        <f>AVERAGE(G5:G9,G11:G12)</f>
        <v>1.8260401863541051</v>
      </c>
      <c r="H13" s="523">
        <f>AVERAGE(H5:H9,H11:H12)</f>
        <v>12.413662219212583</v>
      </c>
      <c r="I13" s="518">
        <f>AVERAGE(I5:I9,I11:I12)</f>
        <v>17.838873664790221</v>
      </c>
      <c r="J13" s="167">
        <f>AVERAGE(J5:J9,J11:J12)</f>
        <v>11.905690956125778</v>
      </c>
    </row>
    <row r="14" spans="1:11" ht="15">
      <c r="A14" s="163" t="s">
        <v>43</v>
      </c>
      <c r="B14" s="164"/>
      <c r="C14" s="164"/>
      <c r="D14" s="165"/>
      <c r="E14" s="166"/>
      <c r="F14" s="166"/>
      <c r="G14" s="516">
        <f>MEDIAN(G5:G9,G11:G12)</f>
        <v>1.755259412452747</v>
      </c>
      <c r="H14" s="523">
        <v>8.1</v>
      </c>
      <c r="I14" s="518">
        <f>MEDIAN(I5:I9,I11:I12)</f>
        <v>16.074938347020311</v>
      </c>
      <c r="J14" s="518">
        <f>MEDIAN(J5:J9,J11:J12)</f>
        <v>9.83</v>
      </c>
    </row>
    <row r="15" spans="1:11">
      <c r="D15" s="168"/>
      <c r="E15" s="169"/>
      <c r="F15" s="169"/>
      <c r="G15" s="159"/>
      <c r="H15" s="161"/>
      <c r="I15" s="162"/>
      <c r="J15" s="160"/>
    </row>
    <row r="16" spans="1:11" ht="15">
      <c r="A16" s="314" t="s">
        <v>122</v>
      </c>
      <c r="B16" s="315"/>
      <c r="C16" s="315"/>
      <c r="D16" s="315"/>
      <c r="E16" s="315"/>
      <c r="F16" s="315"/>
      <c r="G16" s="318">
        <f>MAX(G5:G12)</f>
        <v>4.1682311354426655</v>
      </c>
      <c r="H16" s="524">
        <f>MAX(H6:H12)</f>
        <v>16.070417252695734</v>
      </c>
      <c r="I16" s="526">
        <f>MAX(I6:I12)</f>
        <v>22.436446736842129</v>
      </c>
      <c r="J16" s="519">
        <f>MAX(J5:J12)</f>
        <v>20.618556701030929</v>
      </c>
    </row>
    <row r="17" spans="1:13" ht="15">
      <c r="A17" s="314" t="s">
        <v>121</v>
      </c>
      <c r="B17" s="315"/>
      <c r="C17" s="315"/>
      <c r="D17" s="315"/>
      <c r="E17" s="315"/>
      <c r="F17" s="315"/>
      <c r="G17" s="318">
        <f>MIN(H5:H9,H11:H12)</f>
        <v>6.4718167938931304</v>
      </c>
      <c r="H17" s="524">
        <f>MIN(H5:H9,H11:H12)</f>
        <v>6.4718167938931304</v>
      </c>
      <c r="I17" s="526">
        <f>MIN(I5:I9,I11:I12)</f>
        <v>7.3904088890955171</v>
      </c>
      <c r="J17" s="519">
        <f>MIN(K5:K9,K11:K12)</f>
        <v>0</v>
      </c>
    </row>
    <row r="18" spans="1:13">
      <c r="H18" s="170"/>
      <c r="I18" s="525"/>
      <c r="J18" s="154"/>
    </row>
    <row r="20" spans="1:13" ht="15">
      <c r="A20" s="314" t="s">
        <v>210</v>
      </c>
      <c r="B20" s="314"/>
      <c r="C20" s="314"/>
    </row>
    <row r="21" spans="1:13">
      <c r="A21" s="171"/>
      <c r="B21" s="172"/>
      <c r="C21" s="172"/>
    </row>
    <row r="22" spans="1:13">
      <c r="A22" s="171" t="s">
        <v>211</v>
      </c>
      <c r="B22" s="172">
        <v>0.72582999999999998</v>
      </c>
      <c r="C22" s="172">
        <f>1/B22</f>
        <v>1.3777330779934696</v>
      </c>
      <c r="F22" s="169"/>
      <c r="G22" s="169"/>
      <c r="H22" s="169"/>
      <c r="I22" s="169"/>
      <c r="J22" s="169"/>
      <c r="K22" s="169"/>
      <c r="L22" s="169"/>
      <c r="M22" s="169"/>
    </row>
    <row r="23" spans="1:13">
      <c r="A23" s="171" t="s">
        <v>302</v>
      </c>
      <c r="B23" s="172">
        <v>0.11568299999999999</v>
      </c>
      <c r="C23" s="172">
        <f>1/B23</f>
        <v>8.6443124746073323</v>
      </c>
      <c r="F23" s="169"/>
      <c r="G23" s="169"/>
      <c r="H23" s="169"/>
      <c r="I23" s="169"/>
      <c r="J23" s="169"/>
      <c r="K23" s="169"/>
      <c r="L23" s="169"/>
      <c r="M23" s="169"/>
    </row>
    <row r="24" spans="1:13">
      <c r="A24" s="171" t="s">
        <v>308</v>
      </c>
      <c r="B24" s="172">
        <v>0.12019000000000001</v>
      </c>
      <c r="C24" s="172">
        <f>1/B24</f>
        <v>8.3201597470671427</v>
      </c>
      <c r="F24" s="169"/>
      <c r="G24" s="169"/>
      <c r="H24" s="169"/>
      <c r="I24" s="169"/>
      <c r="J24" s="169"/>
      <c r="K24" s="169"/>
      <c r="L24" s="169"/>
      <c r="M24" s="169"/>
    </row>
    <row r="25" spans="1:13">
      <c r="F25" s="169"/>
      <c r="G25" s="169"/>
      <c r="H25" s="169"/>
      <c r="I25" s="169"/>
      <c r="J25" s="169"/>
      <c r="K25" s="169"/>
      <c r="L25" s="169"/>
      <c r="M25" s="169"/>
    </row>
    <row r="26" spans="1:13" ht="15">
      <c r="A26" s="601"/>
      <c r="B26" s="601"/>
      <c r="C26" s="601"/>
      <c r="D26" s="601"/>
      <c r="E26" s="601"/>
      <c r="F26" s="169"/>
      <c r="G26" s="169"/>
      <c r="H26" s="169"/>
    </row>
    <row r="27" spans="1:13">
      <c r="A27" s="169"/>
      <c r="B27" s="269"/>
      <c r="C27" s="169"/>
      <c r="D27" s="169"/>
      <c r="E27" s="269"/>
      <c r="F27" s="169"/>
      <c r="G27" s="169"/>
      <c r="H27" s="169"/>
    </row>
    <row r="28" spans="1:13">
      <c r="A28" s="169"/>
      <c r="B28" s="269"/>
      <c r="C28" s="169"/>
      <c r="D28" s="169"/>
      <c r="E28" s="269"/>
      <c r="F28" s="169"/>
      <c r="G28" s="169"/>
      <c r="H28" s="169"/>
    </row>
    <row r="29" spans="1:13">
      <c r="A29" s="169"/>
      <c r="B29" s="269"/>
      <c r="C29" s="169"/>
      <c r="D29" s="169"/>
      <c r="E29" s="269"/>
      <c r="F29" s="169"/>
      <c r="G29" s="169"/>
      <c r="H29" s="169"/>
    </row>
    <row r="30" spans="1:13">
      <c r="A30" s="169"/>
      <c r="B30" s="169"/>
      <c r="C30" s="169"/>
      <c r="D30" s="169"/>
      <c r="E30" s="169"/>
      <c r="F30" s="169"/>
      <c r="G30" s="169"/>
      <c r="H30" s="169"/>
    </row>
    <row r="31" spans="1:13">
      <c r="A31" s="169"/>
      <c r="B31" s="169"/>
      <c r="C31" s="169"/>
      <c r="D31" s="169"/>
      <c r="E31" s="169"/>
      <c r="F31" s="169"/>
      <c r="G31" s="169"/>
      <c r="H31" s="169"/>
    </row>
    <row r="32" spans="1:13">
      <c r="A32" s="169"/>
      <c r="B32" s="169"/>
      <c r="C32" s="169"/>
      <c r="D32" s="169"/>
      <c r="E32" s="169"/>
      <c r="F32" s="169"/>
      <c r="G32" s="169"/>
      <c r="H32" s="169"/>
    </row>
    <row r="33" spans="1:8">
      <c r="A33" s="169"/>
      <c r="B33" s="169"/>
      <c r="C33" s="169"/>
      <c r="D33" s="169"/>
      <c r="E33" s="169"/>
      <c r="F33" s="169"/>
      <c r="G33" s="169"/>
      <c r="H33" s="169"/>
    </row>
    <row r="34" spans="1:8">
      <c r="A34" s="169"/>
      <c r="B34" s="169"/>
      <c r="C34" s="169"/>
      <c r="D34" s="169"/>
      <c r="E34" s="169"/>
      <c r="F34" s="169"/>
      <c r="G34" s="169"/>
      <c r="H34" s="169"/>
    </row>
    <row r="35" spans="1:8">
      <c r="A35" s="169"/>
      <c r="B35" s="169"/>
      <c r="C35" s="169"/>
      <c r="D35" s="169"/>
      <c r="E35" s="169"/>
      <c r="F35" s="169"/>
      <c r="G35" s="169"/>
      <c r="H35" s="169"/>
    </row>
    <row r="36" spans="1:8">
      <c r="A36" s="169"/>
      <c r="B36" s="169"/>
      <c r="C36" s="169"/>
      <c r="D36" s="169"/>
      <c r="E36" s="169"/>
      <c r="F36" s="169"/>
      <c r="G36" s="169"/>
      <c r="H36" s="169"/>
    </row>
    <row r="37" spans="1:8">
      <c r="A37" s="169"/>
      <c r="B37" s="169"/>
      <c r="C37" s="169"/>
      <c r="D37" s="169"/>
      <c r="E37" s="169"/>
      <c r="F37" s="169"/>
      <c r="G37" s="169"/>
      <c r="H37" s="169"/>
    </row>
    <row r="38" spans="1:8">
      <c r="A38" s="169"/>
      <c r="B38" s="169"/>
      <c r="C38" s="169"/>
      <c r="D38" s="169"/>
      <c r="E38" s="169"/>
      <c r="F38" s="169"/>
      <c r="G38" s="169"/>
      <c r="H38" s="169"/>
    </row>
    <row r="39" spans="1:8">
      <c r="A39" s="169"/>
      <c r="B39" s="169"/>
      <c r="C39" s="169"/>
      <c r="D39" s="169"/>
      <c r="E39" s="169"/>
      <c r="F39" s="169"/>
      <c r="G39" s="169"/>
      <c r="H39" s="169"/>
    </row>
    <row r="40" spans="1:8">
      <c r="A40" s="169"/>
      <c r="B40" s="169"/>
      <c r="C40" s="169"/>
      <c r="D40" s="169"/>
      <c r="E40" s="169"/>
      <c r="F40" s="169"/>
      <c r="G40" s="169"/>
      <c r="H40" s="169"/>
    </row>
    <row r="41" spans="1:8">
      <c r="A41" s="169"/>
      <c r="B41" s="169"/>
      <c r="C41" s="169"/>
      <c r="D41" s="169"/>
      <c r="E41" s="169"/>
      <c r="F41" s="169"/>
      <c r="G41" s="169"/>
      <c r="H41" s="169"/>
    </row>
    <row r="42" spans="1:8">
      <c r="A42" s="169"/>
      <c r="B42" s="169"/>
      <c r="C42" s="169"/>
      <c r="D42" s="169"/>
      <c r="E42" s="169"/>
      <c r="F42" s="169"/>
      <c r="G42" s="169"/>
      <c r="H42" s="169"/>
    </row>
    <row r="43" spans="1:8" ht="15">
      <c r="A43" s="601"/>
      <c r="B43" s="601"/>
      <c r="C43" s="601"/>
      <c r="D43" s="601"/>
      <c r="E43" s="601"/>
      <c r="F43" s="169"/>
      <c r="G43" s="169"/>
      <c r="H43" s="169"/>
    </row>
    <row r="44" spans="1:8">
      <c r="A44" s="169"/>
      <c r="B44" s="269"/>
      <c r="C44" s="169"/>
      <c r="D44" s="169"/>
      <c r="E44" s="269"/>
      <c r="F44" s="169"/>
      <c r="G44" s="169"/>
      <c r="H44" s="169"/>
    </row>
    <row r="45" spans="1:8">
      <c r="A45" s="169"/>
      <c r="B45" s="269"/>
      <c r="C45" s="169"/>
      <c r="D45" s="169"/>
      <c r="E45" s="269"/>
      <c r="F45" s="169"/>
      <c r="G45" s="169"/>
      <c r="H45" s="169"/>
    </row>
    <row r="46" spans="1:8">
      <c r="A46" s="169"/>
      <c r="B46" s="269"/>
      <c r="C46" s="169"/>
      <c r="D46" s="169"/>
      <c r="E46" s="269"/>
      <c r="F46" s="169"/>
      <c r="G46" s="169"/>
      <c r="H46" s="169"/>
    </row>
    <row r="47" spans="1:8">
      <c r="A47" s="169"/>
      <c r="B47" s="169"/>
      <c r="C47" s="169"/>
      <c r="D47" s="169"/>
      <c r="E47" s="169"/>
      <c r="F47" s="169"/>
      <c r="G47" s="169"/>
      <c r="H47" s="169"/>
    </row>
    <row r="48" spans="1:8">
      <c r="A48" s="169"/>
      <c r="B48" s="169"/>
      <c r="C48" s="169"/>
      <c r="D48" s="169"/>
      <c r="E48" s="169"/>
      <c r="F48" s="169"/>
      <c r="G48" s="169"/>
      <c r="H48" s="169"/>
    </row>
    <row r="49" spans="1:8">
      <c r="A49" s="169"/>
      <c r="B49" s="169"/>
      <c r="C49" s="169"/>
      <c r="D49" s="169"/>
      <c r="E49" s="169"/>
      <c r="F49" s="169"/>
      <c r="G49" s="169"/>
      <c r="H49" s="169"/>
    </row>
    <row r="50" spans="1:8">
      <c r="A50" s="169"/>
      <c r="B50" s="169"/>
      <c r="C50" s="169"/>
      <c r="D50" s="169"/>
      <c r="E50" s="169"/>
      <c r="F50" s="169"/>
      <c r="G50" s="169"/>
      <c r="H50" s="169"/>
    </row>
    <row r="51" spans="1:8">
      <c r="A51" s="169"/>
      <c r="B51" s="169"/>
      <c r="C51" s="169"/>
      <c r="D51" s="169"/>
      <c r="E51" s="169"/>
      <c r="F51" s="169"/>
      <c r="G51" s="169"/>
      <c r="H51" s="169"/>
    </row>
    <row r="52" spans="1:8">
      <c r="A52" s="169"/>
      <c r="B52" s="169"/>
      <c r="C52" s="169"/>
      <c r="D52" s="169"/>
      <c r="E52" s="169"/>
      <c r="F52" s="169"/>
      <c r="G52" s="169"/>
      <c r="H52" s="169"/>
    </row>
    <row r="53" spans="1:8">
      <c r="A53" s="169"/>
      <c r="B53" s="169"/>
      <c r="C53" s="169"/>
      <c r="D53" s="169"/>
      <c r="E53" s="169"/>
      <c r="F53" s="169"/>
      <c r="G53" s="169"/>
      <c r="H53" s="169"/>
    </row>
    <row r="54" spans="1:8">
      <c r="A54" s="169"/>
      <c r="B54" s="169"/>
      <c r="C54" s="169"/>
      <c r="D54" s="169"/>
      <c r="E54" s="169"/>
      <c r="F54" s="169"/>
      <c r="G54" s="169"/>
      <c r="H54" s="169"/>
    </row>
    <row r="55" spans="1:8">
      <c r="A55" s="169"/>
      <c r="B55" s="169"/>
      <c r="C55" s="169"/>
      <c r="D55" s="169"/>
      <c r="E55" s="169"/>
      <c r="F55" s="169"/>
      <c r="G55" s="169"/>
      <c r="H55" s="169"/>
    </row>
    <row r="56" spans="1:8">
      <c r="A56" s="169"/>
      <c r="B56" s="169"/>
      <c r="C56" s="169"/>
      <c r="D56" s="169"/>
      <c r="E56" s="169"/>
      <c r="F56" s="169"/>
      <c r="G56" s="169"/>
      <c r="H56" s="169"/>
    </row>
    <row r="57" spans="1:8">
      <c r="A57" s="169"/>
      <c r="B57" s="169"/>
      <c r="C57" s="169"/>
      <c r="D57" s="169"/>
      <c r="E57" s="169"/>
      <c r="F57" s="169"/>
      <c r="G57" s="169"/>
      <c r="H57" s="169"/>
    </row>
    <row r="58" spans="1:8">
      <c r="A58" s="169"/>
      <c r="B58" s="169"/>
      <c r="C58" s="169"/>
      <c r="D58" s="169"/>
      <c r="E58" s="169"/>
      <c r="F58" s="169"/>
      <c r="G58" s="169"/>
      <c r="H58" s="169"/>
    </row>
    <row r="59" spans="1:8">
      <c r="A59" s="169"/>
      <c r="B59" s="169"/>
      <c r="C59" s="169"/>
      <c r="D59" s="169"/>
      <c r="E59" s="169"/>
      <c r="F59" s="169"/>
      <c r="G59" s="169"/>
      <c r="H59" s="169"/>
    </row>
    <row r="60" spans="1:8" ht="15">
      <c r="A60" s="601"/>
      <c r="B60" s="601"/>
      <c r="C60" s="601"/>
      <c r="D60" s="601"/>
      <c r="E60" s="601"/>
      <c r="F60" s="169"/>
      <c r="G60" s="169"/>
      <c r="H60" s="169"/>
    </row>
    <row r="61" spans="1:8">
      <c r="A61" s="169"/>
      <c r="B61" s="269"/>
      <c r="C61" s="169"/>
      <c r="D61" s="169"/>
      <c r="E61" s="269"/>
      <c r="F61" s="169"/>
      <c r="G61" s="169"/>
      <c r="H61" s="169"/>
    </row>
    <row r="62" spans="1:8">
      <c r="A62" s="169"/>
      <c r="B62" s="269"/>
      <c r="C62" s="169"/>
      <c r="D62" s="169"/>
      <c r="E62" s="269"/>
      <c r="F62" s="169"/>
      <c r="G62" s="169"/>
      <c r="H62" s="169"/>
    </row>
    <row r="63" spans="1:8">
      <c r="A63" s="169"/>
      <c r="B63" s="269"/>
      <c r="C63" s="169"/>
      <c r="D63" s="169"/>
      <c r="E63" s="269"/>
      <c r="F63" s="169"/>
      <c r="G63" s="169"/>
      <c r="H63" s="169"/>
    </row>
    <row r="64" spans="1:8">
      <c r="A64" s="169"/>
      <c r="B64" s="169"/>
      <c r="C64" s="169"/>
      <c r="D64" s="169"/>
      <c r="E64" s="169"/>
      <c r="F64" s="169"/>
      <c r="G64" s="169"/>
      <c r="H64" s="169"/>
    </row>
    <row r="65" spans="1:8">
      <c r="A65" s="169"/>
      <c r="B65" s="169"/>
      <c r="C65" s="169"/>
      <c r="D65" s="169"/>
      <c r="E65" s="169"/>
      <c r="F65" s="169"/>
      <c r="G65" s="169"/>
      <c r="H65" s="169"/>
    </row>
    <row r="66" spans="1:8">
      <c r="A66" s="169"/>
      <c r="B66" s="169"/>
      <c r="C66" s="169"/>
      <c r="D66" s="169"/>
      <c r="E66" s="169"/>
      <c r="F66" s="169"/>
      <c r="G66" s="169"/>
      <c r="H66" s="169"/>
    </row>
    <row r="67" spans="1:8">
      <c r="A67" s="169"/>
      <c r="B67" s="169"/>
      <c r="C67" s="169"/>
      <c r="D67" s="169"/>
      <c r="E67" s="169"/>
      <c r="F67" s="169"/>
      <c r="G67" s="169"/>
      <c r="H67" s="169"/>
    </row>
    <row r="68" spans="1:8">
      <c r="A68" s="169"/>
      <c r="B68" s="169"/>
      <c r="C68" s="169"/>
      <c r="D68" s="169"/>
      <c r="E68" s="169"/>
      <c r="F68" s="169"/>
      <c r="G68" s="169"/>
      <c r="H68" s="169"/>
    </row>
    <row r="69" spans="1:8">
      <c r="A69" s="169"/>
      <c r="B69" s="169"/>
      <c r="C69" s="169"/>
      <c r="D69" s="169"/>
      <c r="E69" s="169"/>
      <c r="F69" s="169"/>
      <c r="G69" s="169"/>
      <c r="H69" s="169"/>
    </row>
    <row r="70" spans="1:8">
      <c r="A70" s="169"/>
      <c r="B70" s="169"/>
      <c r="C70" s="169"/>
      <c r="D70" s="169"/>
      <c r="E70" s="169"/>
      <c r="F70" s="169"/>
      <c r="G70" s="169"/>
      <c r="H70" s="169"/>
    </row>
    <row r="71" spans="1:8">
      <c r="A71" s="169"/>
      <c r="B71" s="169"/>
      <c r="C71" s="169"/>
      <c r="D71" s="169"/>
      <c r="E71" s="169"/>
      <c r="F71" s="169"/>
      <c r="G71" s="169"/>
      <c r="H71" s="169"/>
    </row>
    <row r="72" spans="1:8">
      <c r="A72" s="169"/>
      <c r="B72" s="169"/>
      <c r="C72" s="169"/>
      <c r="D72" s="169"/>
      <c r="E72" s="169"/>
      <c r="F72" s="169"/>
      <c r="G72" s="169"/>
      <c r="H72" s="169"/>
    </row>
    <row r="73" spans="1:8">
      <c r="A73" s="169"/>
      <c r="B73" s="169"/>
      <c r="C73" s="169"/>
      <c r="D73" s="169"/>
      <c r="E73" s="169"/>
      <c r="F73" s="169"/>
      <c r="G73" s="169"/>
      <c r="H73" s="169"/>
    </row>
    <row r="74" spans="1:8">
      <c r="A74" s="169"/>
      <c r="B74" s="169"/>
      <c r="C74" s="169"/>
      <c r="D74" s="169"/>
      <c r="E74" s="169"/>
      <c r="F74" s="169"/>
      <c r="G74" s="169"/>
      <c r="H74" s="169"/>
    </row>
    <row r="75" spans="1:8">
      <c r="A75" s="169"/>
      <c r="B75" s="169"/>
      <c r="C75" s="169"/>
      <c r="D75" s="169"/>
      <c r="E75" s="169"/>
      <c r="F75" s="169"/>
      <c r="G75" s="169"/>
      <c r="H75" s="169"/>
    </row>
    <row r="76" spans="1:8">
      <c r="A76" s="169"/>
      <c r="B76" s="169"/>
      <c r="C76" s="169"/>
      <c r="D76" s="169"/>
      <c r="E76" s="169"/>
      <c r="F76" s="169"/>
      <c r="G76" s="169"/>
      <c r="H76" s="169"/>
    </row>
    <row r="77" spans="1:8" ht="15">
      <c r="A77" s="601"/>
      <c r="B77" s="601"/>
      <c r="C77" s="601"/>
      <c r="D77" s="601"/>
      <c r="E77" s="601"/>
      <c r="F77" s="169"/>
      <c r="G77" s="169"/>
      <c r="H77" s="169"/>
    </row>
    <row r="78" spans="1:8">
      <c r="A78" s="169"/>
      <c r="B78" s="269"/>
      <c r="C78" s="169"/>
      <c r="D78" s="169"/>
      <c r="E78" s="269"/>
      <c r="F78" s="169"/>
      <c r="G78" s="169"/>
      <c r="H78" s="169"/>
    </row>
    <row r="79" spans="1:8">
      <c r="A79" s="169"/>
      <c r="B79" s="269"/>
      <c r="C79" s="169"/>
      <c r="D79" s="169"/>
      <c r="E79" s="269"/>
      <c r="F79" s="169"/>
      <c r="G79" s="169"/>
      <c r="H79" s="169"/>
    </row>
    <row r="80" spans="1:8">
      <c r="A80" s="169"/>
      <c r="B80" s="269"/>
      <c r="C80" s="169"/>
      <c r="D80" s="169"/>
      <c r="E80" s="269"/>
      <c r="F80" s="169"/>
      <c r="G80" s="169"/>
      <c r="H80" s="169"/>
    </row>
    <row r="81" spans="1:8">
      <c r="A81" s="169"/>
      <c r="B81" s="169"/>
      <c r="C81" s="169"/>
      <c r="D81" s="169"/>
      <c r="E81" s="169"/>
      <c r="F81" s="169"/>
      <c r="G81" s="169"/>
      <c r="H81" s="169"/>
    </row>
    <row r="82" spans="1:8">
      <c r="A82" s="169"/>
      <c r="B82" s="169"/>
      <c r="C82" s="169"/>
      <c r="D82" s="169"/>
      <c r="E82" s="169"/>
      <c r="F82" s="169"/>
      <c r="G82" s="169"/>
      <c r="H82" s="169"/>
    </row>
    <row r="83" spans="1:8">
      <c r="A83" s="169"/>
      <c r="B83" s="169"/>
      <c r="C83" s="169"/>
      <c r="D83" s="169"/>
      <c r="E83" s="169"/>
      <c r="F83" s="169"/>
      <c r="G83" s="169"/>
      <c r="H83" s="169"/>
    </row>
    <row r="84" spans="1:8">
      <c r="A84" s="169"/>
      <c r="B84" s="169"/>
      <c r="C84" s="169"/>
      <c r="D84" s="169"/>
      <c r="E84" s="169"/>
      <c r="F84" s="169"/>
      <c r="G84" s="169"/>
      <c r="H84" s="169"/>
    </row>
    <row r="85" spans="1:8">
      <c r="A85" s="169"/>
      <c r="B85" s="169"/>
      <c r="C85" s="169"/>
      <c r="D85" s="169"/>
      <c r="E85" s="169"/>
      <c r="F85" s="169"/>
      <c r="G85" s="169"/>
      <c r="H85" s="169"/>
    </row>
    <row r="86" spans="1:8">
      <c r="A86" s="169"/>
      <c r="B86" s="169"/>
      <c r="C86" s="169"/>
      <c r="D86" s="169"/>
      <c r="E86" s="169"/>
      <c r="F86" s="169"/>
      <c r="G86" s="169"/>
      <c r="H86" s="169"/>
    </row>
    <row r="87" spans="1:8">
      <c r="A87" s="169"/>
      <c r="B87" s="169"/>
      <c r="C87" s="169"/>
      <c r="D87" s="169"/>
      <c r="E87" s="169"/>
      <c r="F87" s="169"/>
      <c r="G87" s="169"/>
      <c r="H87" s="169"/>
    </row>
    <row r="88" spans="1:8">
      <c r="A88" s="169"/>
      <c r="B88" s="169"/>
      <c r="C88" s="169"/>
      <c r="D88" s="169"/>
      <c r="E88" s="169"/>
      <c r="F88" s="169"/>
      <c r="G88" s="169"/>
      <c r="H88" s="169"/>
    </row>
    <row r="89" spans="1:8">
      <c r="A89" s="169"/>
      <c r="B89" s="169"/>
      <c r="C89" s="169"/>
      <c r="D89" s="169"/>
      <c r="E89" s="169"/>
      <c r="F89" s="169"/>
      <c r="G89" s="169"/>
      <c r="H89" s="169"/>
    </row>
    <row r="90" spans="1:8">
      <c r="A90" s="169"/>
      <c r="B90" s="169"/>
      <c r="C90" s="169"/>
      <c r="D90" s="169"/>
      <c r="E90" s="169"/>
      <c r="F90" s="169"/>
      <c r="G90" s="169"/>
      <c r="H90" s="169"/>
    </row>
    <row r="91" spans="1:8">
      <c r="A91" s="169"/>
      <c r="B91" s="169"/>
      <c r="C91" s="169"/>
      <c r="D91" s="169"/>
      <c r="E91" s="169"/>
      <c r="F91" s="169"/>
      <c r="G91" s="169"/>
      <c r="H91" s="169"/>
    </row>
    <row r="92" spans="1:8">
      <c r="A92" s="169"/>
      <c r="B92" s="169"/>
      <c r="C92" s="169"/>
      <c r="D92" s="169"/>
      <c r="E92" s="169"/>
      <c r="F92" s="169"/>
      <c r="G92" s="169"/>
      <c r="H92" s="169"/>
    </row>
    <row r="93" spans="1:8">
      <c r="A93" s="169"/>
      <c r="B93" s="169"/>
      <c r="C93" s="169"/>
      <c r="D93" s="169"/>
      <c r="E93" s="169"/>
      <c r="F93" s="169"/>
      <c r="G93" s="169"/>
      <c r="H93" s="169"/>
    </row>
    <row r="94" spans="1:8" ht="15">
      <c r="A94" s="601"/>
      <c r="B94" s="601"/>
      <c r="C94" s="601"/>
      <c r="D94" s="601"/>
      <c r="E94" s="601"/>
      <c r="F94" s="169"/>
      <c r="G94" s="169"/>
      <c r="H94" s="169"/>
    </row>
    <row r="95" spans="1:8">
      <c r="A95" s="169"/>
      <c r="B95" s="269"/>
      <c r="C95" s="169"/>
      <c r="D95" s="169"/>
      <c r="E95" s="269"/>
      <c r="F95" s="169"/>
      <c r="G95" s="169"/>
      <c r="H95" s="169"/>
    </row>
    <row r="96" spans="1:8">
      <c r="A96" s="169"/>
      <c r="B96" s="269"/>
      <c r="C96" s="169"/>
      <c r="D96" s="169"/>
      <c r="E96" s="269"/>
      <c r="F96" s="169"/>
      <c r="G96" s="169"/>
      <c r="H96" s="169"/>
    </row>
    <row r="97" spans="1:13">
      <c r="A97" s="169"/>
      <c r="B97" s="269"/>
      <c r="C97" s="169"/>
      <c r="D97" s="169"/>
      <c r="E97" s="269"/>
      <c r="F97" s="169"/>
      <c r="G97" s="169"/>
      <c r="H97" s="169"/>
    </row>
    <row r="98" spans="1:13">
      <c r="F98" s="169"/>
      <c r="G98" s="169"/>
      <c r="H98" s="169"/>
      <c r="I98" s="169"/>
      <c r="J98" s="169"/>
      <c r="K98" s="169"/>
      <c r="L98" s="169"/>
      <c r="M98" s="169"/>
    </row>
    <row r="99" spans="1:13">
      <c r="F99" s="169"/>
      <c r="G99" s="169"/>
      <c r="H99" s="169"/>
      <c r="I99" s="169"/>
      <c r="J99" s="169"/>
      <c r="K99" s="169"/>
      <c r="L99" s="169"/>
      <c r="M99" s="169"/>
    </row>
    <row r="100" spans="1:13">
      <c r="F100" s="169"/>
      <c r="G100" s="169"/>
      <c r="H100" s="169"/>
      <c r="I100" s="169"/>
      <c r="J100" s="169"/>
      <c r="K100" s="169"/>
      <c r="L100" s="169"/>
      <c r="M100" s="169"/>
    </row>
    <row r="101" spans="1:13">
      <c r="F101" s="169"/>
      <c r="G101" s="169"/>
      <c r="H101" s="169"/>
      <c r="I101" s="169"/>
      <c r="J101" s="169"/>
      <c r="K101" s="169"/>
      <c r="L101" s="169"/>
      <c r="M101" s="169"/>
    </row>
    <row r="102" spans="1:13">
      <c r="F102" s="169"/>
      <c r="G102" s="169"/>
      <c r="H102" s="169"/>
      <c r="I102" s="169"/>
      <c r="J102" s="169"/>
      <c r="K102" s="169"/>
      <c r="L102" s="169"/>
      <c r="M102" s="169"/>
    </row>
    <row r="103" spans="1:13">
      <c r="F103" s="169"/>
      <c r="G103" s="169"/>
      <c r="H103" s="169"/>
      <c r="I103" s="169"/>
      <c r="J103" s="169"/>
      <c r="K103" s="169"/>
      <c r="L103" s="169"/>
      <c r="M103" s="169"/>
    </row>
    <row r="104" spans="1:13">
      <c r="F104" s="169"/>
      <c r="G104" s="169"/>
      <c r="H104" s="169"/>
      <c r="I104" s="169"/>
      <c r="J104" s="169"/>
      <c r="K104" s="169"/>
      <c r="L104" s="169"/>
      <c r="M104" s="169"/>
    </row>
    <row r="105" spans="1:13">
      <c r="F105" s="169"/>
      <c r="G105" s="169"/>
      <c r="H105" s="169"/>
      <c r="I105" s="169"/>
      <c r="J105" s="169"/>
      <c r="K105" s="169"/>
      <c r="L105" s="169"/>
      <c r="M105" s="169"/>
    </row>
    <row r="106" spans="1:13">
      <c r="F106" s="169"/>
      <c r="G106" s="169"/>
      <c r="H106" s="169"/>
      <c r="I106" s="169"/>
      <c r="J106" s="169"/>
      <c r="K106" s="169"/>
      <c r="L106" s="169"/>
      <c r="M106" s="169"/>
    </row>
    <row r="107" spans="1:13">
      <c r="F107" s="169"/>
      <c r="G107" s="169"/>
      <c r="H107" s="169"/>
      <c r="I107" s="169"/>
      <c r="J107" s="169"/>
      <c r="K107" s="169"/>
      <c r="L107" s="169"/>
      <c r="M107" s="169"/>
    </row>
    <row r="108" spans="1:13">
      <c r="F108" s="169"/>
      <c r="G108" s="169"/>
      <c r="H108" s="169"/>
      <c r="I108" s="169"/>
      <c r="J108" s="169"/>
      <c r="K108" s="169"/>
      <c r="L108" s="169"/>
      <c r="M108" s="169"/>
    </row>
    <row r="109" spans="1:13">
      <c r="F109" s="169"/>
      <c r="G109" s="169"/>
      <c r="H109" s="169"/>
      <c r="I109" s="169"/>
      <c r="J109" s="169"/>
      <c r="K109" s="169"/>
      <c r="L109" s="169"/>
      <c r="M109" s="169"/>
    </row>
    <row r="110" spans="1:13">
      <c r="F110" s="169"/>
      <c r="G110" s="169"/>
      <c r="H110" s="169"/>
      <c r="I110" s="169"/>
      <c r="J110" s="169"/>
      <c r="K110" s="169"/>
      <c r="L110" s="169"/>
      <c r="M110" s="169"/>
    </row>
    <row r="111" spans="1:13" ht="15">
      <c r="F111" s="601"/>
      <c r="G111" s="601"/>
      <c r="H111" s="601"/>
      <c r="I111" s="601"/>
      <c r="J111" s="601"/>
      <c r="K111" s="169"/>
      <c r="L111" s="169"/>
      <c r="M111" s="169"/>
    </row>
    <row r="112" spans="1:13">
      <c r="B112" s="173"/>
      <c r="C112" s="173"/>
      <c r="F112" s="169"/>
      <c r="G112" s="269"/>
      <c r="H112" s="169"/>
      <c r="I112" s="169"/>
      <c r="J112" s="269"/>
      <c r="K112" s="169"/>
      <c r="L112" s="169"/>
      <c r="M112" s="169"/>
    </row>
    <row r="113" spans="2:13">
      <c r="B113" s="173"/>
      <c r="C113" s="173"/>
      <c r="F113" s="169"/>
      <c r="G113" s="269"/>
      <c r="H113" s="169"/>
      <c r="I113" s="169"/>
      <c r="J113" s="269"/>
      <c r="K113" s="169"/>
      <c r="L113" s="169"/>
      <c r="M113" s="169"/>
    </row>
    <row r="114" spans="2:13">
      <c r="B114" s="173"/>
      <c r="C114" s="173"/>
      <c r="F114" s="169"/>
      <c r="G114" s="269"/>
      <c r="H114" s="169"/>
      <c r="I114" s="169"/>
      <c r="J114" s="269"/>
      <c r="K114" s="169"/>
      <c r="L114" s="169"/>
      <c r="M114" s="169"/>
    </row>
    <row r="115" spans="2:13">
      <c r="F115" s="169"/>
      <c r="G115" s="169"/>
      <c r="H115" s="169"/>
      <c r="I115" s="169"/>
      <c r="J115" s="169"/>
      <c r="K115" s="169"/>
      <c r="L115" s="169"/>
      <c r="M115" s="169"/>
    </row>
    <row r="116" spans="2:13">
      <c r="F116" s="169"/>
      <c r="G116" s="169"/>
      <c r="H116" s="169"/>
      <c r="I116" s="169"/>
      <c r="J116" s="169"/>
      <c r="K116" s="169"/>
      <c r="L116" s="169"/>
      <c r="M116" s="169"/>
    </row>
    <row r="117" spans="2:13">
      <c r="F117" s="169"/>
      <c r="G117" s="169"/>
      <c r="H117" s="169"/>
      <c r="I117" s="169"/>
      <c r="J117" s="169"/>
      <c r="K117" s="169"/>
      <c r="L117" s="169"/>
      <c r="M117" s="169"/>
    </row>
    <row r="118" spans="2:13">
      <c r="F118" s="169"/>
      <c r="G118" s="169"/>
      <c r="H118" s="169"/>
      <c r="I118" s="169"/>
      <c r="J118" s="169"/>
      <c r="K118" s="169"/>
      <c r="L118" s="169"/>
      <c r="M118" s="169"/>
    </row>
    <row r="119" spans="2:13">
      <c r="F119" s="169"/>
      <c r="G119" s="169"/>
      <c r="H119" s="169"/>
      <c r="I119" s="169"/>
      <c r="J119" s="169"/>
      <c r="K119" s="169"/>
      <c r="L119" s="169"/>
      <c r="M119" s="169"/>
    </row>
  </sheetData>
  <mergeCells count="13">
    <mergeCell ref="I111:J111"/>
    <mergeCell ref="G1:I1"/>
    <mergeCell ref="A94:C94"/>
    <mergeCell ref="D94:E94"/>
    <mergeCell ref="A60:C60"/>
    <mergeCell ref="D60:E60"/>
    <mergeCell ref="F111:H111"/>
    <mergeCell ref="A26:C26"/>
    <mergeCell ref="D26:E26"/>
    <mergeCell ref="A43:C43"/>
    <mergeCell ref="D43:E43"/>
    <mergeCell ref="A77:C77"/>
    <mergeCell ref="D77:E77"/>
  </mergeCells>
  <pageMargins left="0.70866141732283472" right="0.70866141732283472" top="0.74803149606299213" bottom="0.74803149606299213" header="0.31496062992125984" footer="0.31496062992125984"/>
  <pageSetup paperSize="9" scale="52" fitToHeight="3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rowBreaks count="2" manualBreakCount="2">
    <brk id="44" max="16383" man="1"/>
    <brk id="96" max="16383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0" tint="-0.249977111117893"/>
    <pageSetUpPr fitToPage="1"/>
  </sheetPr>
  <dimension ref="A1:U166"/>
  <sheetViews>
    <sheetView showGridLines="0" topLeftCell="D1" zoomScale="80" zoomScaleNormal="80" zoomScalePageLayoutView="80" workbookViewId="0">
      <selection activeCell="D8" sqref="D8"/>
    </sheetView>
  </sheetViews>
  <sheetFormatPr defaultColWidth="9.140625" defaultRowHeight="14.25"/>
  <cols>
    <col min="1" max="1" width="29.7109375" style="271" customWidth="1"/>
    <col min="2" max="2" width="13.42578125" style="271" customWidth="1"/>
    <col min="3" max="3" width="14.28515625" style="271" customWidth="1"/>
    <col min="4" max="4" width="17.42578125" style="271" bestFit="1" customWidth="1"/>
    <col min="5" max="5" width="2.7109375" style="274" customWidth="1"/>
    <col min="6" max="6" width="31.28515625" style="271" bestFit="1" customWidth="1"/>
    <col min="7" max="7" width="14.42578125" style="271" customWidth="1"/>
    <col min="8" max="11" width="12.85546875" style="271" bestFit="1" customWidth="1"/>
    <col min="12" max="12" width="2.7109375" style="274" customWidth="1"/>
    <col min="13" max="13" width="31.85546875" style="271" customWidth="1"/>
    <col min="14" max="14" width="18" style="271" customWidth="1"/>
    <col min="15" max="15" width="16.42578125" style="271" customWidth="1"/>
    <col min="16" max="16" width="20.140625" style="271" customWidth="1"/>
    <col min="17" max="17" width="14.28515625" style="271" bestFit="1" customWidth="1"/>
    <col min="18" max="18" width="2.7109375" style="271" customWidth="1"/>
    <col min="19" max="16384" width="9.140625" style="271"/>
  </cols>
  <sheetData>
    <row r="1" spans="1:18" ht="15">
      <c r="A1" s="312" t="s">
        <v>219</v>
      </c>
      <c r="B1" s="313"/>
      <c r="C1" s="313"/>
      <c r="D1" s="313"/>
      <c r="E1" s="270"/>
      <c r="F1" s="312" t="s">
        <v>220</v>
      </c>
      <c r="G1" s="313"/>
      <c r="H1" s="313"/>
      <c r="I1" s="313"/>
      <c r="J1" s="313"/>
      <c r="K1" s="313"/>
      <c r="L1" s="270"/>
      <c r="M1" s="312" t="s">
        <v>221</v>
      </c>
      <c r="N1" s="313"/>
      <c r="O1" s="313"/>
      <c r="P1" s="313"/>
      <c r="Q1" s="313"/>
      <c r="R1" s="270"/>
    </row>
    <row r="2" spans="1:18" ht="15">
      <c r="A2" s="272" t="s">
        <v>222</v>
      </c>
      <c r="B2" s="272"/>
      <c r="C2" s="272"/>
      <c r="D2" s="273" t="s">
        <v>45</v>
      </c>
      <c r="E2" s="270"/>
      <c r="F2" s="274"/>
      <c r="G2" s="273">
        <v>2010</v>
      </c>
      <c r="H2" s="273">
        <v>2011</v>
      </c>
      <c r="I2" s="273">
        <v>2012</v>
      </c>
      <c r="J2" s="273">
        <v>2013</v>
      </c>
      <c r="K2" s="273" t="s">
        <v>179</v>
      </c>
      <c r="L2" s="270"/>
      <c r="N2" s="273">
        <v>2010</v>
      </c>
      <c r="O2" s="273">
        <v>2011</v>
      </c>
      <c r="P2" s="273">
        <v>2012</v>
      </c>
      <c r="Q2" s="273">
        <v>2013</v>
      </c>
      <c r="R2" s="270"/>
    </row>
    <row r="3" spans="1:18" ht="15">
      <c r="A3" s="274" t="s">
        <v>204</v>
      </c>
      <c r="B3" s="274"/>
      <c r="C3" s="274"/>
      <c r="D3" s="275" t="s">
        <v>223</v>
      </c>
      <c r="E3" s="270"/>
      <c r="F3" s="272" t="s">
        <v>224</v>
      </c>
      <c r="G3" s="276">
        <v>97761</v>
      </c>
      <c r="H3" s="276">
        <v>106540</v>
      </c>
      <c r="I3" s="276">
        <v>114297</v>
      </c>
      <c r="J3" s="276">
        <v>117982</v>
      </c>
      <c r="K3" s="276"/>
      <c r="L3" s="270"/>
      <c r="M3" s="274" t="s">
        <v>155</v>
      </c>
      <c r="N3" s="277">
        <v>6628</v>
      </c>
      <c r="O3" s="278">
        <v>3575</v>
      </c>
      <c r="P3" s="278">
        <v>4067</v>
      </c>
      <c r="Q3" s="278">
        <f>4368</f>
        <v>4368</v>
      </c>
      <c r="R3" s="270"/>
    </row>
    <row r="4" spans="1:18">
      <c r="A4" s="274" t="s">
        <v>225</v>
      </c>
      <c r="B4" s="274"/>
      <c r="C4" s="274"/>
      <c r="D4" s="275" t="s">
        <v>226</v>
      </c>
      <c r="E4" s="270"/>
      <c r="F4" s="274" t="s">
        <v>177</v>
      </c>
      <c r="G4" s="277">
        <v>74988</v>
      </c>
      <c r="H4" s="277">
        <v>81023</v>
      </c>
      <c r="I4" s="277">
        <v>88749</v>
      </c>
      <c r="J4" s="277">
        <v>92386</v>
      </c>
      <c r="K4" s="277"/>
      <c r="L4" s="270"/>
      <c r="M4" s="279" t="s">
        <v>227</v>
      </c>
      <c r="N4" s="280">
        <f>N3/G3</f>
        <v>6.7797997156330239E-2</v>
      </c>
      <c r="O4" s="280">
        <f>O3/H3</f>
        <v>3.3555472123146239E-2</v>
      </c>
      <c r="P4" s="280">
        <f>P3/I3</f>
        <v>3.5582736204799778E-2</v>
      </c>
      <c r="Q4" s="280">
        <f>Q3/J3</f>
        <v>3.702259666728823E-2</v>
      </c>
      <c r="R4" s="270"/>
    </row>
    <row r="5" spans="1:18" ht="15">
      <c r="A5" s="274" t="s">
        <v>228</v>
      </c>
      <c r="B5" s="274"/>
      <c r="C5" s="274"/>
      <c r="D5" s="281">
        <v>41639</v>
      </c>
      <c r="E5" s="270"/>
      <c r="F5" s="272" t="s">
        <v>63</v>
      </c>
      <c r="G5" s="276">
        <f t="shared" ref="G5:I5" si="0">G3-G4</f>
        <v>22773</v>
      </c>
      <c r="H5" s="276">
        <f t="shared" si="0"/>
        <v>25517</v>
      </c>
      <c r="I5" s="276">
        <f t="shared" si="0"/>
        <v>25548</v>
      </c>
      <c r="J5" s="276">
        <f>J3-J4</f>
        <v>25596</v>
      </c>
      <c r="K5" s="276"/>
      <c r="L5" s="270"/>
      <c r="M5" s="274" t="s">
        <v>150</v>
      </c>
      <c r="N5" s="278">
        <v>5208</v>
      </c>
      <c r="O5" s="278">
        <v>5876</v>
      </c>
      <c r="P5" s="278">
        <v>6657</v>
      </c>
      <c r="Q5" s="278">
        <v>6907</v>
      </c>
      <c r="R5" s="270"/>
    </row>
    <row r="6" spans="1:18">
      <c r="A6" s="274" t="s">
        <v>229</v>
      </c>
      <c r="B6" s="274"/>
      <c r="C6" s="274"/>
      <c r="D6" s="275" t="s">
        <v>230</v>
      </c>
      <c r="E6" s="270"/>
      <c r="F6" s="274" t="s">
        <v>231</v>
      </c>
      <c r="G6" s="277">
        <v>12335</v>
      </c>
      <c r="H6" s="277">
        <v>13679</v>
      </c>
      <c r="I6" s="277">
        <v>14412</v>
      </c>
      <c r="J6" s="277">
        <v>14690</v>
      </c>
      <c r="K6" s="277"/>
      <c r="L6" s="270"/>
      <c r="M6" s="279" t="s">
        <v>227</v>
      </c>
      <c r="N6" s="280">
        <f>N5/G3</f>
        <v>5.3272777487955322E-2</v>
      </c>
      <c r="O6" s="280">
        <f>O5/H3</f>
        <v>5.515299418058945E-2</v>
      </c>
      <c r="P6" s="280">
        <f>P5/I3</f>
        <v>5.824299850389774E-2</v>
      </c>
      <c r="Q6" s="280">
        <f>Q5/J3</f>
        <v>5.8542828567069556E-2</v>
      </c>
      <c r="R6" s="270"/>
    </row>
    <row r="7" spans="1:18">
      <c r="A7" s="274" t="s">
        <v>232</v>
      </c>
      <c r="B7" s="274"/>
      <c r="C7" s="274"/>
      <c r="D7" s="275"/>
      <c r="E7" s="270"/>
      <c r="F7" s="274" t="s">
        <v>233</v>
      </c>
      <c r="G7" s="277">
        <v>3476</v>
      </c>
      <c r="H7" s="277">
        <v>4174</v>
      </c>
      <c r="I7" s="277">
        <v>4160</v>
      </c>
      <c r="J7" s="277">
        <v>4088</v>
      </c>
      <c r="K7" s="277"/>
      <c r="L7" s="270"/>
      <c r="M7" s="274"/>
      <c r="N7" s="274"/>
      <c r="O7" s="274"/>
      <c r="P7" s="274"/>
      <c r="Q7" s="274"/>
      <c r="R7" s="270"/>
    </row>
    <row r="8" spans="1:18" ht="15">
      <c r="A8" s="274" t="s">
        <v>234</v>
      </c>
      <c r="B8" s="274"/>
      <c r="C8" s="274"/>
      <c r="D8" s="400">
        <f>'Regression Daimler'!G19</f>
        <v>0.98453528897586684</v>
      </c>
      <c r="E8" s="270"/>
      <c r="F8" s="272" t="s">
        <v>195</v>
      </c>
      <c r="G8" s="276">
        <f>G5-G6-G7</f>
        <v>6962</v>
      </c>
      <c r="H8" s="276">
        <f t="shared" ref="H8:I8" si="1">H5-H6-H7</f>
        <v>7664</v>
      </c>
      <c r="I8" s="276">
        <f t="shared" si="1"/>
        <v>6976</v>
      </c>
      <c r="J8" s="276">
        <f>J5-J6-J7</f>
        <v>6818</v>
      </c>
      <c r="K8" s="276"/>
      <c r="L8" s="270"/>
      <c r="M8" s="270"/>
      <c r="N8" s="270"/>
      <c r="O8" s="270"/>
      <c r="P8" s="270"/>
      <c r="Q8" s="270"/>
      <c r="R8" s="270"/>
    </row>
    <row r="9" spans="1:18" ht="15">
      <c r="A9" s="274" t="s">
        <v>24</v>
      </c>
      <c r="B9" s="274"/>
      <c r="C9" s="274"/>
      <c r="D9" s="282">
        <v>0.29580000000000001</v>
      </c>
      <c r="E9" s="270"/>
      <c r="F9" s="274" t="s">
        <v>235</v>
      </c>
      <c r="G9" s="277">
        <v>0</v>
      </c>
      <c r="H9" s="277">
        <v>232</v>
      </c>
      <c r="I9" s="277">
        <v>0</v>
      </c>
      <c r="J9" s="277">
        <v>0</v>
      </c>
      <c r="K9" s="277"/>
      <c r="L9" s="270"/>
      <c r="M9" s="312" t="s">
        <v>236</v>
      </c>
      <c r="N9" s="313"/>
      <c r="O9" s="313"/>
      <c r="P9" s="313"/>
      <c r="Q9" s="313"/>
      <c r="R9" s="270"/>
    </row>
    <row r="10" spans="1:18" ht="15">
      <c r="A10" s="270"/>
      <c r="B10" s="270"/>
      <c r="C10" s="270"/>
      <c r="D10" s="270"/>
      <c r="E10" s="270"/>
      <c r="F10" s="274" t="s">
        <v>237</v>
      </c>
      <c r="G10" s="277"/>
      <c r="H10" s="277"/>
      <c r="I10" s="277">
        <v>2307</v>
      </c>
      <c r="J10" s="277">
        <v>1702</v>
      </c>
      <c r="K10" s="277"/>
      <c r="L10" s="270"/>
      <c r="M10" s="274"/>
      <c r="N10" s="274"/>
      <c r="O10" s="274"/>
      <c r="P10" s="273">
        <v>2012</v>
      </c>
      <c r="Q10" s="273">
        <v>2013</v>
      </c>
      <c r="R10" s="270"/>
    </row>
    <row r="11" spans="1:18" ht="15">
      <c r="A11" s="312" t="s">
        <v>238</v>
      </c>
      <c r="B11" s="313"/>
      <c r="C11" s="313"/>
      <c r="D11" s="313"/>
      <c r="E11" s="270"/>
      <c r="F11" s="274" t="s">
        <v>59</v>
      </c>
      <c r="G11" s="277">
        <v>0</v>
      </c>
      <c r="H11" s="277">
        <v>0</v>
      </c>
      <c r="I11" s="277">
        <v>0</v>
      </c>
      <c r="J11" s="277">
        <v>0</v>
      </c>
      <c r="K11" s="277"/>
      <c r="L11" s="270"/>
      <c r="M11" s="274" t="s">
        <v>239</v>
      </c>
      <c r="N11" s="274"/>
      <c r="O11" s="274"/>
      <c r="P11" s="277">
        <v>10996</v>
      </c>
      <c r="Q11" s="277">
        <v>11053</v>
      </c>
      <c r="R11" s="270"/>
    </row>
    <row r="12" spans="1:18">
      <c r="A12" s="274" t="s">
        <v>240</v>
      </c>
      <c r="B12" s="283">
        <v>41639</v>
      </c>
      <c r="C12" s="284"/>
      <c r="D12" s="285">
        <v>86.92</v>
      </c>
      <c r="E12" s="270"/>
      <c r="F12" s="274" t="s">
        <v>241</v>
      </c>
      <c r="G12" s="277">
        <v>0</v>
      </c>
      <c r="H12" s="277">
        <v>0</v>
      </c>
      <c r="I12" s="277">
        <v>0</v>
      </c>
      <c r="J12" s="277">
        <v>0</v>
      </c>
      <c r="K12" s="277"/>
      <c r="L12" s="270"/>
      <c r="M12" s="274" t="s">
        <v>242</v>
      </c>
      <c r="N12" s="274"/>
      <c r="O12" s="274"/>
      <c r="P12" s="277">
        <f>75118+7543</f>
        <v>82661</v>
      </c>
      <c r="Q12" s="277">
        <f>78930+7803</f>
        <v>86733</v>
      </c>
      <c r="R12" s="270"/>
    </row>
    <row r="13" spans="1:18">
      <c r="A13" s="279" t="s">
        <v>243</v>
      </c>
      <c r="B13" s="274"/>
      <c r="C13" s="286"/>
      <c r="D13" s="287">
        <f>D12/D14</f>
        <v>0.99793340987370849</v>
      </c>
      <c r="E13" s="270"/>
      <c r="F13" s="274" t="s">
        <v>244</v>
      </c>
      <c r="G13" s="277">
        <v>0</v>
      </c>
      <c r="H13" s="277">
        <v>0</v>
      </c>
      <c r="I13" s="277">
        <v>0</v>
      </c>
      <c r="J13" s="277">
        <v>0</v>
      </c>
      <c r="K13" s="277"/>
      <c r="L13" s="270"/>
      <c r="M13" s="274" t="s">
        <v>105</v>
      </c>
      <c r="N13" s="274"/>
      <c r="O13" s="274"/>
      <c r="P13" s="277">
        <v>17720</v>
      </c>
      <c r="Q13" s="277">
        <v>17349</v>
      </c>
      <c r="R13" s="270"/>
    </row>
    <row r="14" spans="1:18" ht="15">
      <c r="A14" s="274" t="s">
        <v>245</v>
      </c>
      <c r="B14" s="274"/>
      <c r="C14" s="284"/>
      <c r="D14" s="285">
        <v>87.1</v>
      </c>
      <c r="E14" s="270"/>
      <c r="F14" s="272" t="s">
        <v>55</v>
      </c>
      <c r="G14" s="276">
        <v>4498</v>
      </c>
      <c r="H14" s="276">
        <v>5667</v>
      </c>
      <c r="I14" s="276">
        <v>6428</v>
      </c>
      <c r="J14" s="276">
        <v>6842</v>
      </c>
      <c r="K14" s="276"/>
      <c r="L14" s="270"/>
      <c r="M14" s="274" t="s">
        <v>246</v>
      </c>
      <c r="N14" s="274"/>
      <c r="O14" s="274"/>
      <c r="P14" s="277">
        <v>5598</v>
      </c>
      <c r="Q14" s="277">
        <v>7066</v>
      </c>
      <c r="R14" s="270"/>
    </row>
    <row r="15" spans="1:18" ht="15">
      <c r="A15" s="274" t="s">
        <v>247</v>
      </c>
      <c r="B15" s="274"/>
      <c r="C15" s="284"/>
      <c r="D15" s="285">
        <v>50.3</v>
      </c>
      <c r="E15" s="270"/>
      <c r="F15" s="272"/>
      <c r="G15" s="274"/>
      <c r="H15" s="274"/>
      <c r="I15" s="274"/>
      <c r="J15" s="274"/>
      <c r="K15" s="274"/>
      <c r="L15" s="270"/>
      <c r="M15" s="272" t="s">
        <v>248</v>
      </c>
      <c r="N15" s="272"/>
      <c r="O15" s="272"/>
      <c r="P15" s="276">
        <f>SUM(P11:P14)</f>
        <v>116975</v>
      </c>
      <c r="Q15" s="276">
        <f>SUM(Q11:Q14)</f>
        <v>122201</v>
      </c>
      <c r="R15" s="270"/>
    </row>
    <row r="16" spans="1:18" ht="15">
      <c r="A16" s="274" t="s">
        <v>249</v>
      </c>
      <c r="B16" s="274"/>
      <c r="C16" s="284"/>
      <c r="D16" s="285">
        <v>2.25</v>
      </c>
      <c r="E16" s="270"/>
      <c r="F16" s="274" t="s">
        <v>250</v>
      </c>
      <c r="G16" s="277">
        <v>0</v>
      </c>
      <c r="H16" s="277">
        <v>0</v>
      </c>
      <c r="I16" s="277">
        <v>0</v>
      </c>
      <c r="J16" s="277">
        <v>0</v>
      </c>
      <c r="K16" s="277"/>
      <c r="L16" s="270"/>
      <c r="M16" s="274"/>
      <c r="N16" s="274"/>
      <c r="O16" s="274"/>
      <c r="P16" s="277"/>
      <c r="Q16" s="276"/>
      <c r="R16" s="270"/>
    </row>
    <row r="17" spans="1:18">
      <c r="A17" s="274"/>
      <c r="B17" s="274"/>
      <c r="C17" s="275"/>
      <c r="D17" s="275"/>
      <c r="E17" s="270"/>
      <c r="F17" s="274" t="s">
        <v>251</v>
      </c>
      <c r="G17" s="277">
        <v>0</v>
      </c>
      <c r="H17" s="277">
        <v>0</v>
      </c>
      <c r="I17" s="277">
        <v>0</v>
      </c>
      <c r="J17" s="277">
        <v>0</v>
      </c>
      <c r="K17" s="277"/>
      <c r="L17" s="270"/>
      <c r="M17" s="274" t="s">
        <v>252</v>
      </c>
      <c r="N17" s="274"/>
      <c r="O17" s="274"/>
      <c r="P17" s="277">
        <v>20599</v>
      </c>
      <c r="Q17" s="277">
        <v>21779</v>
      </c>
      <c r="R17" s="270"/>
    </row>
    <row r="18" spans="1:18">
      <c r="A18" s="274" t="s">
        <v>253</v>
      </c>
      <c r="B18" s="274"/>
      <c r="C18" s="274"/>
      <c r="D18" s="288">
        <v>1069.8</v>
      </c>
      <c r="E18" s="270"/>
      <c r="F18" s="274" t="s">
        <v>254</v>
      </c>
      <c r="G18" s="277">
        <v>0</v>
      </c>
      <c r="H18" s="277">
        <v>0</v>
      </c>
      <c r="I18" s="277">
        <v>0</v>
      </c>
      <c r="J18" s="277">
        <v>0</v>
      </c>
      <c r="K18" s="277"/>
      <c r="L18" s="270"/>
      <c r="M18" s="274" t="s">
        <v>255</v>
      </c>
      <c r="N18" s="274"/>
      <c r="O18" s="274"/>
      <c r="P18" s="277">
        <v>8885</v>
      </c>
      <c r="Q18" s="277">
        <v>9388</v>
      </c>
      <c r="R18" s="270"/>
    </row>
    <row r="19" spans="1:18" ht="15">
      <c r="A19" s="272" t="s">
        <v>256</v>
      </c>
      <c r="B19" s="274"/>
      <c r="C19" s="289"/>
      <c r="D19" s="290">
        <f>D12*D18</f>
        <v>92987.016000000003</v>
      </c>
      <c r="E19" s="270"/>
      <c r="F19" s="274"/>
      <c r="G19" s="274"/>
      <c r="H19" s="274"/>
      <c r="I19" s="274"/>
      <c r="J19" s="291"/>
      <c r="K19" s="291"/>
      <c r="L19" s="270"/>
      <c r="M19" s="274" t="s">
        <v>257</v>
      </c>
      <c r="N19" s="274"/>
      <c r="O19" s="274"/>
      <c r="P19" s="277">
        <f>6339+5960+4304</f>
        <v>16603</v>
      </c>
      <c r="Q19" s="277">
        <f>6241+5477+3432</f>
        <v>15150</v>
      </c>
      <c r="R19" s="270"/>
    </row>
    <row r="20" spans="1:18" ht="15">
      <c r="A20" s="274" t="s">
        <v>258</v>
      </c>
      <c r="B20" s="274"/>
      <c r="C20" s="284"/>
      <c r="D20" s="288">
        <f>Q29</f>
        <v>125155</v>
      </c>
      <c r="E20" s="270"/>
      <c r="F20" s="270"/>
      <c r="G20" s="270"/>
      <c r="H20" s="270"/>
      <c r="I20" s="270"/>
      <c r="J20" s="270"/>
      <c r="K20" s="270"/>
      <c r="L20" s="270"/>
      <c r="M20" s="272" t="s">
        <v>97</v>
      </c>
      <c r="N20" s="272"/>
      <c r="O20" s="272"/>
      <c r="P20" s="276">
        <f>P15+P17+P18+P19</f>
        <v>163062</v>
      </c>
      <c r="Q20" s="276">
        <f>Q16+Q17+Q18+Q19+Q15</f>
        <v>168518</v>
      </c>
      <c r="R20" s="270"/>
    </row>
    <row r="21" spans="1:18" ht="15">
      <c r="A21" s="274" t="s">
        <v>183</v>
      </c>
      <c r="B21" s="274"/>
      <c r="C21" s="284"/>
      <c r="D21" s="288">
        <v>0</v>
      </c>
      <c r="E21" s="270"/>
      <c r="F21" s="312" t="s">
        <v>259</v>
      </c>
      <c r="G21" s="313"/>
      <c r="H21" s="313"/>
      <c r="I21" s="313"/>
      <c r="J21" s="313"/>
      <c r="K21" s="313"/>
      <c r="L21" s="270"/>
      <c r="M21" s="274"/>
      <c r="N21" s="274"/>
      <c r="O21" s="274"/>
      <c r="P21" s="277"/>
      <c r="Q21" s="277"/>
      <c r="R21" s="270"/>
    </row>
    <row r="22" spans="1:18">
      <c r="A22" s="274" t="s">
        <v>241</v>
      </c>
      <c r="B22" s="274"/>
      <c r="C22" s="284"/>
      <c r="D22" s="288">
        <v>0</v>
      </c>
      <c r="E22" s="270"/>
      <c r="F22" s="274" t="s">
        <v>260</v>
      </c>
      <c r="G22" s="277">
        <f>G5</f>
        <v>22773</v>
      </c>
      <c r="H22" s="277">
        <f>H5</f>
        <v>25517</v>
      </c>
      <c r="I22" s="277">
        <f>I5</f>
        <v>25548</v>
      </c>
      <c r="J22" s="277">
        <f>J5</f>
        <v>25596</v>
      </c>
      <c r="K22" s="277"/>
      <c r="L22" s="270"/>
      <c r="M22" s="274" t="s">
        <v>261</v>
      </c>
      <c r="N22" s="274"/>
      <c r="O22" s="274"/>
      <c r="P22" s="277">
        <v>8832</v>
      </c>
      <c r="Q22" s="277">
        <v>9086</v>
      </c>
      <c r="R22" s="270"/>
    </row>
    <row r="23" spans="1:18">
      <c r="A23" s="274" t="s">
        <v>239</v>
      </c>
      <c r="B23" s="274"/>
      <c r="C23" s="284"/>
      <c r="D23" s="288">
        <v>11053</v>
      </c>
      <c r="E23" s="270"/>
      <c r="F23" s="274" t="s">
        <v>262</v>
      </c>
      <c r="G23" s="277">
        <v>0</v>
      </c>
      <c r="H23" s="277">
        <v>0</v>
      </c>
      <c r="I23" s="277">
        <v>0</v>
      </c>
      <c r="J23" s="277">
        <v>0</v>
      </c>
      <c r="K23" s="277"/>
      <c r="L23" s="270"/>
      <c r="M23" s="274" t="s">
        <v>263</v>
      </c>
      <c r="N23" s="274"/>
      <c r="O23" s="274"/>
      <c r="P23" s="277">
        <v>0</v>
      </c>
      <c r="Q23" s="277">
        <v>0</v>
      </c>
      <c r="R23" s="270"/>
    </row>
    <row r="24" spans="1:18" ht="15">
      <c r="A24" s="272" t="s">
        <v>264</v>
      </c>
      <c r="B24" s="274"/>
      <c r="C24" s="289"/>
      <c r="D24" s="290">
        <f>D19+D20+D21+D22-D23</f>
        <v>207089.016</v>
      </c>
      <c r="E24" s="270"/>
      <c r="F24" s="272" t="s">
        <v>265</v>
      </c>
      <c r="G24" s="276">
        <v>0</v>
      </c>
      <c r="H24" s="276">
        <v>0</v>
      </c>
      <c r="I24" s="276">
        <v>0</v>
      </c>
      <c r="J24" s="276">
        <v>0</v>
      </c>
      <c r="K24" s="276"/>
      <c r="L24" s="270"/>
      <c r="M24" s="274" t="s">
        <v>266</v>
      </c>
      <c r="N24" s="274"/>
      <c r="O24" s="274"/>
      <c r="P24" s="277">
        <v>24474</v>
      </c>
      <c r="Q24" s="277">
        <v>23098</v>
      </c>
      <c r="R24" s="270"/>
    </row>
    <row r="25" spans="1:18" ht="15">
      <c r="A25" s="270"/>
      <c r="B25" s="270"/>
      <c r="C25" s="270"/>
      <c r="D25" s="270"/>
      <c r="E25" s="270"/>
      <c r="F25" s="279" t="s">
        <v>154</v>
      </c>
      <c r="G25" s="292">
        <f t="shared" ref="G25:I25" si="2">IFERROR(G24/G$3,"")</f>
        <v>0</v>
      </c>
      <c r="H25" s="292">
        <f t="shared" si="2"/>
        <v>0</v>
      </c>
      <c r="I25" s="292">
        <f t="shared" si="2"/>
        <v>0</v>
      </c>
      <c r="J25" s="292">
        <f>IFERROR(J24/J$3,"")</f>
        <v>0</v>
      </c>
      <c r="K25" s="292"/>
      <c r="L25" s="270"/>
      <c r="M25" s="272" t="s">
        <v>94</v>
      </c>
      <c r="N25" s="272"/>
      <c r="O25" s="272"/>
      <c r="P25" s="276">
        <f>SUM(P22:P24)</f>
        <v>33306</v>
      </c>
      <c r="Q25" s="276">
        <f>SUM(Q22:Q24)</f>
        <v>32184</v>
      </c>
      <c r="R25" s="270"/>
    </row>
    <row r="26" spans="1:18" ht="15">
      <c r="A26" s="312" t="s">
        <v>267</v>
      </c>
      <c r="B26" s="313"/>
      <c r="C26" s="313"/>
      <c r="D26" s="313"/>
      <c r="E26" s="270"/>
      <c r="F26" s="274"/>
      <c r="G26" s="277"/>
      <c r="H26" s="277"/>
      <c r="I26" s="277"/>
      <c r="J26" s="277"/>
      <c r="K26" s="277"/>
      <c r="L26" s="270"/>
      <c r="M26" s="274"/>
      <c r="N26" s="274"/>
      <c r="O26" s="274"/>
      <c r="P26" s="277"/>
      <c r="Q26" s="277"/>
      <c r="R26" s="270"/>
    </row>
    <row r="27" spans="1:18" ht="15">
      <c r="A27" s="272"/>
      <c r="B27" s="273"/>
      <c r="D27" s="273">
        <v>2013</v>
      </c>
      <c r="E27" s="270"/>
      <c r="F27" s="274" t="s">
        <v>268</v>
      </c>
      <c r="G27" s="277">
        <f>G8</f>
        <v>6962</v>
      </c>
      <c r="H27" s="277">
        <f>H8</f>
        <v>7664</v>
      </c>
      <c r="I27" s="277">
        <f>I8</f>
        <v>6976</v>
      </c>
      <c r="J27" s="277">
        <f>J8</f>
        <v>6818</v>
      </c>
      <c r="K27" s="277"/>
      <c r="L27" s="270"/>
      <c r="M27" s="274" t="s">
        <v>258</v>
      </c>
      <c r="N27" s="274"/>
      <c r="O27" s="274"/>
      <c r="P27" s="277">
        <v>76251</v>
      </c>
      <c r="Q27" s="277">
        <v>77738</v>
      </c>
      <c r="R27" s="270"/>
    </row>
    <row r="28" spans="1:18">
      <c r="E28" s="270"/>
      <c r="F28" s="274" t="s">
        <v>262</v>
      </c>
      <c r="G28" s="277">
        <v>0</v>
      </c>
      <c r="H28" s="277">
        <v>0</v>
      </c>
      <c r="I28" s="277">
        <v>0</v>
      </c>
      <c r="J28" s="277">
        <v>0</v>
      </c>
      <c r="K28" s="277"/>
      <c r="L28" s="270"/>
      <c r="M28" s="274" t="s">
        <v>269</v>
      </c>
      <c r="N28" s="274"/>
      <c r="O28" s="274"/>
      <c r="P28" s="277">
        <f>5726+8449</f>
        <v>14175</v>
      </c>
      <c r="Q28" s="277">
        <f>6957+8276</f>
        <v>15233</v>
      </c>
      <c r="R28" s="270"/>
    </row>
    <row r="29" spans="1:18" ht="15">
      <c r="A29" s="272" t="s">
        <v>270</v>
      </c>
      <c r="B29" s="274"/>
      <c r="D29" s="293">
        <f>D24/J3</f>
        <v>1.755259412452747</v>
      </c>
      <c r="E29" s="270"/>
      <c r="F29" s="274" t="s">
        <v>271</v>
      </c>
      <c r="G29" s="277">
        <v>0</v>
      </c>
      <c r="H29" s="277">
        <v>0</v>
      </c>
      <c r="I29" s="277">
        <v>0</v>
      </c>
      <c r="J29" s="277">
        <v>0</v>
      </c>
      <c r="K29" s="277"/>
      <c r="L29" s="270"/>
      <c r="M29" s="272" t="s">
        <v>88</v>
      </c>
      <c r="N29" s="272"/>
      <c r="O29" s="272"/>
      <c r="P29" s="276">
        <f>P25+P27+P28</f>
        <v>123732</v>
      </c>
      <c r="Q29" s="276">
        <f>Q25+Q27+Q28</f>
        <v>125155</v>
      </c>
      <c r="R29" s="270"/>
    </row>
    <row r="30" spans="1:18" ht="15">
      <c r="A30" s="274"/>
      <c r="B30" s="274"/>
      <c r="D30" s="294"/>
      <c r="E30" s="270"/>
      <c r="F30" s="272" t="s">
        <v>272</v>
      </c>
      <c r="G30" s="276">
        <v>0</v>
      </c>
      <c r="H30" s="276">
        <v>0</v>
      </c>
      <c r="I30" s="276">
        <v>0</v>
      </c>
      <c r="J30" s="276">
        <v>0</v>
      </c>
      <c r="K30" s="276"/>
      <c r="L30" s="270"/>
      <c r="M30" s="274"/>
      <c r="N30" s="274"/>
      <c r="O30" s="274"/>
      <c r="P30" s="277"/>
      <c r="Q30" s="277"/>
      <c r="R30" s="270"/>
    </row>
    <row r="31" spans="1:18" ht="15">
      <c r="A31" s="272" t="s">
        <v>273</v>
      </c>
      <c r="B31" s="274"/>
      <c r="D31" s="293">
        <f>D24/(J8+Q3)</f>
        <v>18.51323225460397</v>
      </c>
      <c r="E31" s="270"/>
      <c r="F31" s="279" t="s">
        <v>154</v>
      </c>
      <c r="G31" s="292">
        <f t="shared" ref="G31:I31" si="3">IFERROR(G30/G$3,"")</f>
        <v>0</v>
      </c>
      <c r="H31" s="292">
        <f t="shared" si="3"/>
        <v>0</v>
      </c>
      <c r="I31" s="292">
        <f t="shared" si="3"/>
        <v>0</v>
      </c>
      <c r="J31" s="292">
        <f>IFERROR(J30/J$3,"")</f>
        <v>0</v>
      </c>
      <c r="K31" s="292"/>
      <c r="L31" s="270"/>
      <c r="M31" s="274" t="s">
        <v>241</v>
      </c>
      <c r="N31" s="274"/>
      <c r="O31" s="274"/>
      <c r="P31" s="277"/>
      <c r="Q31" s="277"/>
      <c r="R31" s="270"/>
    </row>
    <row r="32" spans="1:18">
      <c r="A32" s="274"/>
      <c r="B32" s="274"/>
      <c r="D32" s="295"/>
      <c r="E32" s="270"/>
      <c r="F32" s="274"/>
      <c r="G32" s="277"/>
      <c r="H32" s="277"/>
      <c r="I32" s="277"/>
      <c r="J32" s="277"/>
      <c r="K32" s="277"/>
      <c r="L32" s="270"/>
      <c r="M32" s="274" t="s">
        <v>183</v>
      </c>
      <c r="N32" s="274"/>
      <c r="O32" s="274"/>
      <c r="P32" s="277"/>
      <c r="Q32" s="277"/>
      <c r="R32" s="270"/>
    </row>
    <row r="33" spans="1:21" ht="15">
      <c r="A33" s="272" t="s">
        <v>274</v>
      </c>
      <c r="B33" s="274"/>
      <c r="D33" s="293">
        <f>D24/J8</f>
        <v>30.373865649750659</v>
      </c>
      <c r="E33" s="270"/>
      <c r="F33" s="274" t="s">
        <v>151</v>
      </c>
      <c r="G33" s="277">
        <v>0</v>
      </c>
      <c r="H33" s="277">
        <v>0</v>
      </c>
      <c r="I33" s="277">
        <v>0</v>
      </c>
      <c r="J33" s="277">
        <v>0</v>
      </c>
      <c r="K33" s="277"/>
      <c r="L33" s="270"/>
      <c r="M33" s="274" t="s">
        <v>275</v>
      </c>
      <c r="N33" s="274"/>
      <c r="O33" s="274"/>
      <c r="P33" s="277">
        <v>39330</v>
      </c>
      <c r="Q33" s="277">
        <v>43363</v>
      </c>
      <c r="R33" s="270"/>
    </row>
    <row r="34" spans="1:21" ht="15">
      <c r="A34" s="274"/>
      <c r="B34" s="274"/>
      <c r="D34" s="295"/>
      <c r="E34" s="270"/>
      <c r="F34" s="272" t="s">
        <v>276</v>
      </c>
      <c r="G34" s="276">
        <v>0</v>
      </c>
      <c r="H34" s="276">
        <v>0</v>
      </c>
      <c r="I34" s="276">
        <v>0</v>
      </c>
      <c r="J34" s="276">
        <v>0</v>
      </c>
      <c r="K34" s="276"/>
      <c r="L34" s="270"/>
      <c r="M34" s="296" t="s">
        <v>277</v>
      </c>
      <c r="N34" s="296"/>
      <c r="O34" s="296"/>
      <c r="P34" s="297">
        <f>P29+P33+P32+P31</f>
        <v>163062</v>
      </c>
      <c r="Q34" s="297">
        <f>Q29+Q33+Q32+Q31</f>
        <v>168518</v>
      </c>
      <c r="R34" s="270"/>
    </row>
    <row r="35" spans="1:21" ht="15">
      <c r="A35" s="272" t="s">
        <v>278</v>
      </c>
      <c r="B35" s="274"/>
      <c r="D35" s="293">
        <v>9.83</v>
      </c>
      <c r="E35" s="270"/>
      <c r="F35" s="279" t="s">
        <v>154</v>
      </c>
      <c r="G35" s="292">
        <f t="shared" ref="G35:I35" si="4">IFERROR(G34/G$3,"")</f>
        <v>0</v>
      </c>
      <c r="H35" s="292">
        <f t="shared" si="4"/>
        <v>0</v>
      </c>
      <c r="I35" s="292">
        <f t="shared" si="4"/>
        <v>0</v>
      </c>
      <c r="J35" s="292">
        <f>IFERROR(J34/J$3,"")</f>
        <v>0</v>
      </c>
      <c r="K35" s="292"/>
      <c r="L35" s="270"/>
      <c r="M35" s="279" t="s">
        <v>279</v>
      </c>
      <c r="N35" s="274"/>
      <c r="O35" s="274"/>
      <c r="P35" s="277">
        <f>P20-P34</f>
        <v>0</v>
      </c>
      <c r="Q35" s="277">
        <f>Q20-Q34</f>
        <v>0</v>
      </c>
      <c r="R35" s="270"/>
    </row>
    <row r="36" spans="1:21">
      <c r="A36" s="274"/>
      <c r="B36" s="274"/>
      <c r="C36" s="274"/>
      <c r="D36" s="275"/>
      <c r="E36" s="270"/>
      <c r="F36" s="274"/>
      <c r="G36" s="274"/>
      <c r="H36" s="274"/>
      <c r="I36" s="274"/>
      <c r="J36" s="274"/>
      <c r="K36" s="274"/>
      <c r="L36" s="270"/>
      <c r="R36" s="270"/>
    </row>
    <row r="37" spans="1:21" ht="15" customHeight="1">
      <c r="A37" s="298"/>
      <c r="B37" s="299"/>
      <c r="C37" s="299"/>
      <c r="D37" s="299"/>
      <c r="E37" s="270"/>
      <c r="F37" s="274" t="s">
        <v>280</v>
      </c>
      <c r="G37" s="277">
        <v>0</v>
      </c>
      <c r="H37" s="277">
        <v>0</v>
      </c>
      <c r="I37" s="277">
        <v>0</v>
      </c>
      <c r="J37" s="277">
        <v>0</v>
      </c>
      <c r="K37" s="277"/>
      <c r="L37" s="270"/>
      <c r="M37" s="270"/>
      <c r="N37" s="270"/>
      <c r="O37" s="270"/>
      <c r="P37" s="270"/>
      <c r="Q37" s="270"/>
      <c r="R37" s="270"/>
    </row>
    <row r="38" spans="1:21" ht="15">
      <c r="A38" s="274"/>
      <c r="B38" s="274"/>
      <c r="C38" s="300"/>
      <c r="D38" s="277"/>
      <c r="E38" s="270"/>
      <c r="F38" s="274" t="s">
        <v>262</v>
      </c>
      <c r="G38" s="277">
        <v>0</v>
      </c>
      <c r="H38" s="277">
        <v>0</v>
      </c>
      <c r="I38" s="277">
        <v>0</v>
      </c>
      <c r="J38" s="277">
        <v>0</v>
      </c>
      <c r="K38" s="277"/>
      <c r="L38" s="270"/>
      <c r="M38" s="312" t="s">
        <v>281</v>
      </c>
      <c r="N38" s="313"/>
      <c r="O38" s="313"/>
      <c r="P38" s="313"/>
      <c r="Q38" s="313"/>
      <c r="R38" s="270"/>
    </row>
    <row r="39" spans="1:21">
      <c r="A39" s="274"/>
      <c r="B39" s="274"/>
      <c r="C39" s="174"/>
      <c r="D39" s="301"/>
      <c r="E39" s="270"/>
      <c r="F39" s="274" t="s">
        <v>271</v>
      </c>
      <c r="G39" s="277">
        <v>0</v>
      </c>
      <c r="H39" s="277">
        <v>0</v>
      </c>
      <c r="I39" s="277">
        <v>0</v>
      </c>
      <c r="J39" s="277">
        <v>0</v>
      </c>
      <c r="K39" s="277"/>
      <c r="L39" s="270"/>
      <c r="M39" s="274" t="s">
        <v>282</v>
      </c>
      <c r="N39" s="302">
        <f>D20+Q33-SUM(Q17:Q19)</f>
        <v>122201</v>
      </c>
      <c r="O39" s="274"/>
      <c r="P39" s="274"/>
      <c r="Q39" s="274"/>
      <c r="R39" s="270"/>
    </row>
    <row r="40" spans="1:21">
      <c r="A40" s="274"/>
      <c r="B40" s="274"/>
      <c r="C40" s="174"/>
      <c r="D40" s="301"/>
      <c r="E40" s="270"/>
      <c r="F40" s="274" t="s">
        <v>283</v>
      </c>
      <c r="G40" s="277">
        <v>0</v>
      </c>
      <c r="H40" s="277">
        <v>0</v>
      </c>
      <c r="I40" s="277">
        <v>0</v>
      </c>
      <c r="J40" s="277">
        <v>0</v>
      </c>
      <c r="K40" s="277"/>
      <c r="L40" s="270"/>
      <c r="M40" s="274" t="s">
        <v>284</v>
      </c>
      <c r="N40" s="277">
        <f>((Q27-Q11)+(P27-P11))/2</f>
        <v>65970</v>
      </c>
      <c r="O40" s="274"/>
      <c r="P40" s="274"/>
      <c r="Q40" s="274"/>
      <c r="R40" s="270"/>
    </row>
    <row r="41" spans="1:21">
      <c r="A41" s="274"/>
      <c r="B41" s="274"/>
      <c r="C41" s="277"/>
      <c r="D41" s="277"/>
      <c r="E41" s="270"/>
      <c r="F41" s="274" t="s">
        <v>285</v>
      </c>
      <c r="G41" s="277">
        <v>0</v>
      </c>
      <c r="H41" s="277">
        <v>0</v>
      </c>
      <c r="I41" s="277">
        <v>0</v>
      </c>
      <c r="J41" s="277">
        <v>0</v>
      </c>
      <c r="K41" s="277"/>
      <c r="L41" s="270"/>
      <c r="R41" s="270"/>
    </row>
    <row r="42" spans="1:21" ht="15">
      <c r="A42" s="274"/>
      <c r="B42" s="274"/>
      <c r="C42" s="274"/>
      <c r="D42" s="274"/>
      <c r="E42" s="270"/>
      <c r="F42" s="272" t="s">
        <v>286</v>
      </c>
      <c r="G42" s="303">
        <v>0</v>
      </c>
      <c r="H42" s="303">
        <v>0</v>
      </c>
      <c r="I42" s="303">
        <v>0</v>
      </c>
      <c r="J42" s="303">
        <v>0</v>
      </c>
      <c r="K42" s="303"/>
      <c r="L42" s="270"/>
      <c r="R42" s="270"/>
    </row>
    <row r="43" spans="1:21" ht="15">
      <c r="A43" s="298"/>
      <c r="B43" s="299"/>
      <c r="C43" s="299"/>
      <c r="D43" s="299"/>
      <c r="E43" s="270"/>
      <c r="F43" s="279" t="s">
        <v>154</v>
      </c>
      <c r="G43" s="292">
        <f t="shared" ref="G43:I43" si="5">IFERROR(G42/G$3,"")</f>
        <v>0</v>
      </c>
      <c r="H43" s="292">
        <f t="shared" si="5"/>
        <v>0</v>
      </c>
      <c r="I43" s="292">
        <f t="shared" si="5"/>
        <v>0</v>
      </c>
      <c r="J43" s="292">
        <f>IFERROR(J42/J$3,"")</f>
        <v>0</v>
      </c>
      <c r="K43" s="292"/>
      <c r="L43" s="270"/>
      <c r="R43" s="270"/>
    </row>
    <row r="44" spans="1:21">
      <c r="A44" s="274"/>
      <c r="B44" s="274"/>
      <c r="C44" s="291"/>
      <c r="D44" s="304"/>
      <c r="E44" s="270"/>
      <c r="F44" s="274"/>
      <c r="G44" s="274"/>
      <c r="H44" s="274"/>
      <c r="I44" s="274"/>
      <c r="J44" s="274"/>
      <c r="K44" s="274"/>
      <c r="L44" s="270"/>
      <c r="R44" s="270"/>
    </row>
    <row r="45" spans="1:21">
      <c r="A45" s="274"/>
      <c r="B45" s="274"/>
      <c r="C45" s="291"/>
      <c r="D45" s="304"/>
      <c r="E45" s="270"/>
      <c r="F45" s="274" t="s">
        <v>287</v>
      </c>
      <c r="G45" s="305">
        <v>0</v>
      </c>
      <c r="H45" s="305">
        <v>0</v>
      </c>
      <c r="I45" s="305">
        <v>0</v>
      </c>
      <c r="J45" s="305">
        <v>0</v>
      </c>
      <c r="K45" s="305"/>
      <c r="L45" s="270"/>
      <c r="R45" s="270"/>
    </row>
    <row r="46" spans="1:21" ht="15" customHeight="1">
      <c r="A46" s="270"/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</row>
    <row r="47" spans="1:21" ht="15" customHeight="1">
      <c r="A47" s="274"/>
      <c r="B47" s="274"/>
      <c r="C47" s="274"/>
      <c r="D47" s="274"/>
      <c r="F47" s="274"/>
      <c r="G47" s="274"/>
      <c r="H47" s="274"/>
      <c r="I47" s="274"/>
      <c r="J47" s="274"/>
      <c r="K47" s="274"/>
      <c r="M47" s="274"/>
      <c r="N47" s="274"/>
      <c r="O47" s="274"/>
      <c r="P47" s="274"/>
      <c r="Q47" s="274"/>
      <c r="R47" s="274"/>
      <c r="S47" s="274"/>
      <c r="T47" s="274"/>
      <c r="U47" s="274"/>
    </row>
    <row r="48" spans="1:21">
      <c r="A48" s="274"/>
      <c r="B48" s="274"/>
      <c r="C48" s="291"/>
      <c r="D48" s="306"/>
      <c r="F48" s="274"/>
      <c r="G48" s="274"/>
      <c r="H48" s="274"/>
      <c r="I48" s="274"/>
      <c r="J48" s="274"/>
      <c r="K48" s="274"/>
      <c r="M48" s="274"/>
      <c r="N48" s="274"/>
      <c r="O48" s="274"/>
      <c r="P48" s="274"/>
      <c r="Q48" s="274"/>
      <c r="R48" s="274"/>
      <c r="S48" s="274"/>
      <c r="T48" s="274"/>
      <c r="U48" s="274"/>
    </row>
    <row r="49" spans="1:21">
      <c r="A49" s="274"/>
      <c r="B49" s="274"/>
      <c r="C49" s="291"/>
      <c r="D49" s="306"/>
      <c r="F49" s="274"/>
      <c r="G49" s="274"/>
      <c r="H49" s="274"/>
      <c r="I49" s="274"/>
      <c r="J49" s="274"/>
      <c r="K49" s="274"/>
      <c r="M49" s="274"/>
      <c r="N49" s="274"/>
      <c r="O49" s="274"/>
      <c r="P49" s="274"/>
      <c r="Q49" s="274"/>
      <c r="R49" s="274"/>
      <c r="S49" s="274"/>
      <c r="T49" s="274"/>
      <c r="U49" s="274"/>
    </row>
    <row r="50" spans="1:21">
      <c r="A50" s="274"/>
      <c r="B50" s="274"/>
      <c r="C50" s="274"/>
      <c r="D50" s="274"/>
      <c r="F50" s="274"/>
      <c r="G50" s="274"/>
      <c r="H50" s="274"/>
      <c r="I50" s="274"/>
      <c r="J50" s="274"/>
      <c r="K50" s="274"/>
      <c r="M50" s="274"/>
      <c r="N50" s="274"/>
      <c r="O50" s="274"/>
      <c r="P50" s="274"/>
      <c r="Q50" s="274"/>
      <c r="R50" s="274"/>
      <c r="S50" s="274"/>
      <c r="T50" s="274"/>
      <c r="U50" s="274"/>
    </row>
    <row r="51" spans="1:21" ht="15">
      <c r="A51" s="298"/>
      <c r="B51" s="398"/>
      <c r="C51" s="299"/>
      <c r="D51" s="299"/>
      <c r="F51" s="274"/>
      <c r="G51" s="274"/>
      <c r="H51" s="274"/>
      <c r="I51" s="274"/>
      <c r="J51" s="274"/>
      <c r="K51" s="274"/>
      <c r="M51" s="274"/>
      <c r="N51" s="274"/>
      <c r="O51" s="274"/>
      <c r="P51" s="274"/>
      <c r="Q51" s="274"/>
      <c r="R51" s="274"/>
      <c r="S51" s="274"/>
      <c r="T51" s="274"/>
      <c r="U51" s="274"/>
    </row>
    <row r="52" spans="1:21" ht="15">
      <c r="A52" s="274"/>
      <c r="B52" s="273"/>
      <c r="C52" s="273"/>
      <c r="D52" s="273"/>
      <c r="F52" s="274"/>
      <c r="G52" s="274"/>
      <c r="H52" s="274"/>
      <c r="I52" s="274"/>
      <c r="J52" s="274"/>
      <c r="K52" s="274"/>
      <c r="M52" s="274"/>
      <c r="N52" s="274"/>
      <c r="O52" s="274"/>
      <c r="P52" s="274"/>
      <c r="Q52" s="274"/>
      <c r="R52" s="274"/>
      <c r="S52" s="274"/>
      <c r="T52" s="274"/>
      <c r="U52" s="274"/>
    </row>
    <row r="53" spans="1:21" ht="15">
      <c r="A53" s="272"/>
      <c r="B53" s="274"/>
      <c r="C53" s="274"/>
      <c r="D53" s="274"/>
      <c r="F53" s="274"/>
      <c r="G53" s="274"/>
      <c r="H53" s="274"/>
      <c r="I53" s="274"/>
      <c r="J53" s="274"/>
      <c r="K53" s="274"/>
      <c r="M53" s="274"/>
      <c r="N53" s="274"/>
      <c r="O53" s="274"/>
      <c r="P53" s="274"/>
      <c r="Q53" s="274"/>
      <c r="R53" s="274"/>
      <c r="S53" s="274"/>
      <c r="T53" s="274"/>
      <c r="U53" s="274"/>
    </row>
    <row r="54" spans="1:21">
      <c r="A54" s="274"/>
      <c r="B54" s="301"/>
      <c r="C54" s="174"/>
      <c r="D54" s="174"/>
      <c r="F54" s="274"/>
      <c r="G54" s="274"/>
      <c r="H54" s="274"/>
      <c r="I54" s="274"/>
      <c r="J54" s="274"/>
      <c r="K54" s="274"/>
      <c r="M54" s="274"/>
      <c r="N54" s="274"/>
      <c r="O54" s="274"/>
      <c r="P54" s="274"/>
      <c r="Q54" s="274"/>
      <c r="R54" s="274"/>
      <c r="S54" s="274"/>
      <c r="T54" s="274"/>
      <c r="U54" s="274"/>
    </row>
    <row r="55" spans="1:21">
      <c r="A55" s="274"/>
      <c r="B55" s="301"/>
      <c r="C55" s="306"/>
      <c r="D55" s="306"/>
      <c r="F55" s="274"/>
      <c r="G55" s="274"/>
      <c r="H55" s="274"/>
      <c r="I55" s="274"/>
      <c r="J55" s="274"/>
      <c r="K55" s="274"/>
      <c r="L55" s="299"/>
      <c r="M55" s="274"/>
      <c r="N55" s="274"/>
      <c r="O55" s="274"/>
      <c r="P55" s="274"/>
      <c r="Q55" s="274"/>
      <c r="R55" s="274"/>
      <c r="S55" s="274"/>
      <c r="T55" s="274"/>
      <c r="U55" s="274"/>
    </row>
    <row r="56" spans="1:21" ht="15">
      <c r="A56" s="272"/>
      <c r="B56" s="306"/>
      <c r="C56" s="306"/>
      <c r="D56" s="306"/>
      <c r="F56" s="274"/>
      <c r="G56" s="274"/>
      <c r="H56" s="274"/>
      <c r="I56" s="274"/>
      <c r="J56" s="274"/>
      <c r="K56" s="274"/>
      <c r="M56" s="274"/>
      <c r="N56" s="274"/>
      <c r="O56" s="274"/>
      <c r="P56" s="274"/>
      <c r="Q56" s="274"/>
      <c r="R56" s="274"/>
      <c r="S56" s="274"/>
      <c r="T56" s="274"/>
      <c r="U56" s="274"/>
    </row>
    <row r="57" spans="1:21">
      <c r="A57" s="274"/>
      <c r="B57" s="306"/>
      <c r="C57" s="306"/>
      <c r="D57" s="306"/>
      <c r="F57" s="274"/>
      <c r="G57" s="274"/>
      <c r="H57" s="274"/>
      <c r="I57" s="274"/>
      <c r="J57" s="274"/>
      <c r="K57" s="274"/>
      <c r="M57" s="274"/>
      <c r="N57" s="274"/>
      <c r="O57" s="274"/>
      <c r="P57" s="274"/>
      <c r="Q57" s="274"/>
      <c r="R57" s="274"/>
      <c r="S57" s="274"/>
      <c r="T57" s="274"/>
      <c r="U57" s="274"/>
    </row>
    <row r="58" spans="1:21">
      <c r="A58" s="274"/>
      <c r="B58" s="306"/>
      <c r="C58" s="306"/>
      <c r="D58" s="306"/>
      <c r="F58" s="274"/>
      <c r="G58" s="274"/>
      <c r="H58" s="274"/>
      <c r="I58" s="274"/>
      <c r="J58" s="274"/>
      <c r="K58" s="274"/>
      <c r="M58" s="274"/>
      <c r="N58" s="274"/>
      <c r="O58" s="274"/>
      <c r="P58" s="274"/>
      <c r="Q58" s="274"/>
      <c r="R58" s="274"/>
      <c r="S58" s="274"/>
      <c r="T58" s="274"/>
      <c r="U58" s="274"/>
    </row>
    <row r="59" spans="1:21">
      <c r="A59" s="274"/>
      <c r="B59" s="306"/>
      <c r="C59" s="306"/>
      <c r="D59" s="306"/>
      <c r="F59" s="274"/>
      <c r="G59" s="274"/>
      <c r="H59" s="274"/>
      <c r="I59" s="274"/>
      <c r="J59" s="274"/>
      <c r="K59" s="274"/>
      <c r="M59" s="274"/>
      <c r="N59" s="274"/>
      <c r="O59" s="274"/>
      <c r="P59" s="274"/>
      <c r="Q59" s="274"/>
      <c r="R59" s="274"/>
      <c r="S59" s="274"/>
      <c r="T59" s="274"/>
      <c r="U59" s="274"/>
    </row>
    <row r="60" spans="1:21">
      <c r="A60" s="274"/>
      <c r="B60" s="274"/>
      <c r="C60" s="274"/>
      <c r="D60" s="274"/>
      <c r="F60" s="274"/>
      <c r="G60" s="274"/>
      <c r="H60" s="274"/>
      <c r="I60" s="274"/>
      <c r="J60" s="274"/>
      <c r="K60" s="274"/>
      <c r="M60" s="274"/>
      <c r="N60" s="274"/>
      <c r="O60" s="274"/>
      <c r="P60" s="274"/>
      <c r="Q60" s="274"/>
      <c r="R60" s="274"/>
      <c r="S60" s="274"/>
      <c r="T60" s="274"/>
      <c r="U60" s="274"/>
    </row>
    <row r="61" spans="1:21">
      <c r="A61" s="274"/>
      <c r="B61" s="274"/>
      <c r="C61" s="274"/>
      <c r="D61" s="274"/>
      <c r="F61" s="274"/>
      <c r="G61" s="274"/>
      <c r="H61" s="274"/>
      <c r="I61" s="274"/>
      <c r="J61" s="274"/>
      <c r="K61" s="274"/>
      <c r="M61" s="274"/>
      <c r="N61" s="274"/>
      <c r="O61" s="274"/>
      <c r="P61" s="274"/>
      <c r="Q61" s="274"/>
      <c r="R61" s="274"/>
      <c r="S61" s="274"/>
      <c r="T61" s="274"/>
      <c r="U61" s="274"/>
    </row>
    <row r="62" spans="1:21">
      <c r="A62" s="274"/>
      <c r="B62" s="274"/>
      <c r="C62" s="274"/>
      <c r="D62" s="274"/>
      <c r="F62" s="274"/>
      <c r="G62" s="274"/>
      <c r="H62" s="274"/>
      <c r="I62" s="274"/>
      <c r="J62" s="274"/>
      <c r="K62" s="274"/>
      <c r="M62" s="274"/>
      <c r="N62" s="274"/>
      <c r="O62" s="274"/>
      <c r="P62" s="274"/>
      <c r="Q62" s="274"/>
      <c r="R62" s="274"/>
      <c r="S62" s="274"/>
      <c r="T62" s="274"/>
      <c r="U62" s="274"/>
    </row>
    <row r="63" spans="1:21">
      <c r="A63" s="274"/>
      <c r="B63" s="274"/>
      <c r="C63" s="274"/>
      <c r="D63" s="274"/>
      <c r="F63" s="274"/>
      <c r="G63" s="274"/>
      <c r="H63" s="274"/>
      <c r="I63" s="274"/>
      <c r="J63" s="274"/>
      <c r="K63" s="274"/>
      <c r="M63" s="274"/>
      <c r="N63" s="274"/>
      <c r="O63" s="274"/>
      <c r="P63" s="274"/>
      <c r="Q63" s="274"/>
      <c r="R63" s="274"/>
      <c r="S63" s="274"/>
      <c r="T63" s="274"/>
      <c r="U63" s="274"/>
    </row>
    <row r="64" spans="1:21">
      <c r="A64" s="274"/>
      <c r="B64" s="274"/>
      <c r="C64" s="274"/>
      <c r="D64" s="274"/>
      <c r="F64" s="274"/>
      <c r="G64" s="274"/>
      <c r="H64" s="274"/>
      <c r="I64" s="274"/>
      <c r="J64" s="274"/>
      <c r="K64" s="274"/>
      <c r="M64" s="274"/>
      <c r="N64" s="274"/>
      <c r="O64" s="274"/>
      <c r="P64" s="274"/>
      <c r="Q64" s="274"/>
      <c r="R64" s="274"/>
      <c r="S64" s="274"/>
      <c r="T64" s="274"/>
      <c r="U64" s="274"/>
    </row>
    <row r="65" spans="1:21">
      <c r="A65" s="274"/>
      <c r="B65" s="274"/>
      <c r="C65" s="274"/>
      <c r="D65" s="274"/>
      <c r="F65" s="274"/>
      <c r="G65" s="274"/>
      <c r="H65" s="274"/>
      <c r="I65" s="274"/>
      <c r="J65" s="274"/>
      <c r="K65" s="274"/>
      <c r="M65" s="274"/>
      <c r="N65" s="274"/>
      <c r="O65" s="274"/>
      <c r="P65" s="274"/>
      <c r="Q65" s="274"/>
      <c r="R65" s="274"/>
      <c r="S65" s="274"/>
      <c r="T65" s="274"/>
      <c r="U65" s="274"/>
    </row>
    <row r="66" spans="1:21">
      <c r="A66" s="274"/>
      <c r="B66" s="274"/>
      <c r="C66" s="274"/>
      <c r="D66" s="274"/>
      <c r="F66" s="274"/>
      <c r="G66" s="274"/>
      <c r="H66" s="274"/>
      <c r="I66" s="274"/>
      <c r="J66" s="274"/>
      <c r="K66" s="274"/>
      <c r="M66" s="274"/>
      <c r="N66" s="274"/>
      <c r="O66" s="274"/>
      <c r="P66" s="274"/>
      <c r="Q66" s="274"/>
      <c r="R66" s="274"/>
      <c r="S66" s="274"/>
      <c r="T66" s="274"/>
      <c r="U66" s="274"/>
    </row>
    <row r="67" spans="1:21">
      <c r="A67" s="274"/>
      <c r="B67" s="274"/>
      <c r="C67" s="274"/>
      <c r="D67" s="274"/>
      <c r="F67" s="274"/>
      <c r="G67" s="274"/>
      <c r="H67" s="274"/>
      <c r="I67" s="274"/>
      <c r="J67" s="274"/>
      <c r="K67" s="274"/>
      <c r="M67" s="274"/>
      <c r="N67" s="274"/>
      <c r="O67" s="274"/>
      <c r="P67" s="274"/>
      <c r="Q67" s="274"/>
      <c r="R67" s="274"/>
      <c r="S67" s="274"/>
      <c r="T67" s="274"/>
      <c r="U67" s="274"/>
    </row>
    <row r="68" spans="1:21">
      <c r="A68" s="274"/>
      <c r="B68" s="274"/>
      <c r="C68" s="274"/>
      <c r="D68" s="274"/>
      <c r="F68" s="274"/>
      <c r="G68" s="274"/>
      <c r="H68" s="274"/>
      <c r="I68" s="274"/>
      <c r="J68" s="274"/>
      <c r="K68" s="274"/>
      <c r="M68" s="274"/>
      <c r="N68" s="274"/>
      <c r="O68" s="274"/>
      <c r="P68" s="274"/>
      <c r="Q68" s="274"/>
      <c r="R68" s="274"/>
      <c r="S68" s="274"/>
      <c r="T68" s="274"/>
      <c r="U68" s="274"/>
    </row>
    <row r="69" spans="1:21">
      <c r="A69" s="274"/>
      <c r="B69" s="274"/>
      <c r="C69" s="274"/>
      <c r="D69" s="274"/>
      <c r="F69" s="274"/>
      <c r="G69" s="274"/>
      <c r="H69" s="274"/>
      <c r="I69" s="274"/>
      <c r="J69" s="274"/>
      <c r="K69" s="274"/>
      <c r="M69" s="274"/>
      <c r="N69" s="274"/>
      <c r="O69" s="274"/>
      <c r="P69" s="274"/>
      <c r="Q69" s="274"/>
      <c r="R69" s="274"/>
      <c r="S69" s="274"/>
      <c r="T69" s="274"/>
      <c r="U69" s="274"/>
    </row>
    <row r="70" spans="1:21">
      <c r="A70" s="274"/>
      <c r="B70" s="274"/>
      <c r="C70" s="274"/>
      <c r="D70" s="274"/>
      <c r="F70" s="274"/>
      <c r="G70" s="274"/>
      <c r="H70" s="274"/>
      <c r="I70" s="274"/>
      <c r="J70" s="274"/>
      <c r="K70" s="274"/>
      <c r="M70" s="274"/>
      <c r="N70" s="274"/>
      <c r="O70" s="274"/>
      <c r="P70" s="274"/>
      <c r="Q70" s="274"/>
      <c r="R70" s="274"/>
      <c r="S70" s="274"/>
      <c r="T70" s="274"/>
      <c r="U70" s="274"/>
    </row>
    <row r="71" spans="1:21">
      <c r="A71" s="274"/>
      <c r="B71" s="274"/>
      <c r="C71" s="274"/>
      <c r="D71" s="274"/>
      <c r="F71" s="274"/>
      <c r="G71" s="274"/>
      <c r="H71" s="274"/>
      <c r="I71" s="274"/>
      <c r="J71" s="274"/>
      <c r="K71" s="274"/>
      <c r="M71" s="274"/>
      <c r="N71" s="274"/>
      <c r="O71" s="274"/>
      <c r="P71" s="274"/>
      <c r="Q71" s="274"/>
      <c r="R71" s="274"/>
      <c r="S71" s="274"/>
      <c r="T71" s="274"/>
      <c r="U71" s="274"/>
    </row>
    <row r="72" spans="1:21">
      <c r="A72" s="274"/>
      <c r="B72" s="274"/>
      <c r="C72" s="274"/>
      <c r="D72" s="274"/>
      <c r="F72" s="274"/>
      <c r="G72" s="274"/>
      <c r="H72" s="274"/>
      <c r="I72" s="274"/>
      <c r="J72" s="274"/>
      <c r="K72" s="274"/>
      <c r="M72" s="274"/>
      <c r="N72" s="274"/>
      <c r="O72" s="274"/>
      <c r="P72" s="274"/>
      <c r="Q72" s="274"/>
      <c r="R72" s="274"/>
      <c r="S72" s="274"/>
      <c r="T72" s="274"/>
      <c r="U72" s="274"/>
    </row>
    <row r="73" spans="1:21">
      <c r="A73" s="274"/>
      <c r="B73" s="274"/>
      <c r="C73" s="274"/>
      <c r="D73" s="274"/>
      <c r="F73" s="274"/>
      <c r="G73" s="274"/>
      <c r="H73" s="274"/>
      <c r="I73" s="274"/>
      <c r="J73" s="274"/>
      <c r="K73" s="274"/>
      <c r="M73" s="274"/>
      <c r="N73" s="274"/>
      <c r="O73" s="274"/>
      <c r="P73" s="274"/>
      <c r="Q73" s="274"/>
      <c r="R73" s="274"/>
      <c r="S73" s="274"/>
      <c r="T73" s="274"/>
      <c r="U73" s="274"/>
    </row>
    <row r="74" spans="1:21">
      <c r="A74" s="274"/>
      <c r="B74" s="274"/>
      <c r="C74" s="274"/>
      <c r="D74" s="274"/>
      <c r="F74" s="274"/>
      <c r="G74" s="274"/>
      <c r="H74" s="274"/>
      <c r="I74" s="274"/>
      <c r="J74" s="274"/>
      <c r="K74" s="274"/>
      <c r="M74" s="274"/>
      <c r="N74" s="274"/>
      <c r="O74" s="274"/>
      <c r="P74" s="274"/>
      <c r="Q74" s="274"/>
      <c r="R74" s="274"/>
      <c r="S74" s="274"/>
      <c r="T74" s="274"/>
      <c r="U74" s="274"/>
    </row>
    <row r="75" spans="1:21">
      <c r="A75" s="274"/>
      <c r="B75" s="274"/>
      <c r="C75" s="274"/>
      <c r="D75" s="274"/>
      <c r="F75" s="274"/>
      <c r="G75" s="274"/>
      <c r="H75" s="274"/>
      <c r="I75" s="274"/>
      <c r="J75" s="274"/>
      <c r="K75" s="274"/>
      <c r="M75" s="274"/>
      <c r="N75" s="274"/>
      <c r="O75" s="274"/>
      <c r="P75" s="274"/>
      <c r="Q75" s="274"/>
      <c r="R75" s="274"/>
      <c r="S75" s="274"/>
      <c r="T75" s="274"/>
      <c r="U75" s="274"/>
    </row>
    <row r="76" spans="1:21">
      <c r="A76" s="274"/>
      <c r="B76" s="274"/>
      <c r="C76" s="274"/>
      <c r="D76" s="274"/>
      <c r="F76" s="274"/>
      <c r="G76" s="274"/>
      <c r="H76" s="274"/>
      <c r="I76" s="274"/>
      <c r="J76" s="274"/>
      <c r="K76" s="274"/>
      <c r="M76" s="274"/>
      <c r="N76" s="274"/>
      <c r="O76" s="274"/>
      <c r="P76" s="274"/>
      <c r="Q76" s="274"/>
      <c r="R76" s="274"/>
      <c r="S76" s="274"/>
      <c r="T76" s="274"/>
      <c r="U76" s="274"/>
    </row>
    <row r="77" spans="1:21">
      <c r="A77" s="274"/>
      <c r="B77" s="274"/>
      <c r="C77" s="274"/>
      <c r="D77" s="274"/>
      <c r="F77" s="274"/>
      <c r="G77" s="274"/>
      <c r="H77" s="274"/>
      <c r="I77" s="274"/>
      <c r="J77" s="274"/>
      <c r="K77" s="274"/>
      <c r="M77" s="274"/>
      <c r="N77" s="274"/>
      <c r="O77" s="274"/>
      <c r="P77" s="274"/>
      <c r="Q77" s="274"/>
      <c r="R77" s="274"/>
      <c r="S77" s="274"/>
      <c r="T77" s="274"/>
      <c r="U77" s="274"/>
    </row>
    <row r="78" spans="1:21">
      <c r="A78" s="274"/>
      <c r="B78" s="274"/>
      <c r="C78" s="274"/>
      <c r="D78" s="274"/>
      <c r="F78" s="274"/>
      <c r="G78" s="274"/>
      <c r="H78" s="274"/>
      <c r="I78" s="274"/>
      <c r="J78" s="274"/>
      <c r="K78" s="274"/>
      <c r="M78" s="274"/>
      <c r="N78" s="274"/>
      <c r="O78" s="274"/>
      <c r="P78" s="274"/>
      <c r="Q78" s="274"/>
      <c r="R78" s="274"/>
      <c r="S78" s="274"/>
      <c r="T78" s="274"/>
      <c r="U78" s="274"/>
    </row>
    <row r="79" spans="1:21">
      <c r="A79" s="274"/>
      <c r="B79" s="274"/>
      <c r="C79" s="274"/>
      <c r="D79" s="274"/>
      <c r="F79" s="274"/>
      <c r="G79" s="274"/>
      <c r="H79" s="274"/>
      <c r="I79" s="274"/>
      <c r="J79" s="274"/>
      <c r="K79" s="274"/>
      <c r="M79" s="274"/>
      <c r="N79" s="274"/>
      <c r="O79" s="274"/>
      <c r="P79" s="274"/>
      <c r="Q79" s="274"/>
      <c r="R79" s="274"/>
      <c r="S79" s="274"/>
      <c r="T79" s="274"/>
      <c r="U79" s="274"/>
    </row>
    <row r="80" spans="1:21">
      <c r="A80" s="274"/>
      <c r="B80" s="274"/>
      <c r="C80" s="274"/>
      <c r="D80" s="274"/>
      <c r="F80" s="274"/>
      <c r="G80" s="274"/>
      <c r="H80" s="274"/>
      <c r="I80" s="274"/>
      <c r="J80" s="274"/>
      <c r="K80" s="274"/>
      <c r="M80" s="274"/>
      <c r="N80" s="274"/>
      <c r="O80" s="274"/>
      <c r="P80" s="274"/>
      <c r="Q80" s="274"/>
      <c r="R80" s="274"/>
      <c r="S80" s="274"/>
      <c r="T80" s="274"/>
      <c r="U80" s="274"/>
    </row>
    <row r="81" spans="1:21">
      <c r="A81" s="274"/>
      <c r="B81" s="274"/>
      <c r="C81" s="274"/>
      <c r="D81" s="274"/>
      <c r="F81" s="274"/>
      <c r="G81" s="274"/>
      <c r="H81" s="274"/>
      <c r="I81" s="274"/>
      <c r="J81" s="274"/>
      <c r="K81" s="274"/>
      <c r="M81" s="274"/>
      <c r="N81" s="274"/>
      <c r="O81" s="274"/>
      <c r="P81" s="274"/>
      <c r="Q81" s="274"/>
      <c r="R81" s="274"/>
      <c r="S81" s="274"/>
      <c r="T81" s="274"/>
      <c r="U81" s="274"/>
    </row>
    <row r="82" spans="1:21">
      <c r="A82" s="274"/>
      <c r="B82" s="274"/>
      <c r="C82" s="274"/>
      <c r="D82" s="274"/>
      <c r="F82" s="274"/>
      <c r="G82" s="274"/>
      <c r="H82" s="274"/>
      <c r="I82" s="274"/>
      <c r="J82" s="274"/>
      <c r="K82" s="274"/>
      <c r="M82" s="274"/>
      <c r="N82" s="274"/>
      <c r="O82" s="274"/>
      <c r="P82" s="274"/>
      <c r="Q82" s="274"/>
      <c r="R82" s="274"/>
      <c r="S82" s="274"/>
      <c r="T82" s="274"/>
      <c r="U82" s="274"/>
    </row>
    <row r="83" spans="1:21">
      <c r="A83" s="274"/>
      <c r="B83" s="274"/>
      <c r="C83" s="274"/>
      <c r="D83" s="274"/>
      <c r="F83" s="274"/>
      <c r="G83" s="274"/>
      <c r="H83" s="274"/>
      <c r="I83" s="274"/>
      <c r="J83" s="274"/>
      <c r="K83" s="274"/>
      <c r="M83" s="274"/>
      <c r="N83" s="274"/>
      <c r="O83" s="274"/>
      <c r="P83" s="274"/>
      <c r="Q83" s="274"/>
      <c r="R83" s="274"/>
      <c r="S83" s="274"/>
      <c r="T83" s="274"/>
      <c r="U83" s="274"/>
    </row>
    <row r="84" spans="1:21">
      <c r="A84" s="274"/>
      <c r="B84" s="274"/>
      <c r="C84" s="274"/>
      <c r="D84" s="274"/>
      <c r="F84" s="274"/>
      <c r="G84" s="274"/>
      <c r="H84" s="274"/>
      <c r="I84" s="274"/>
      <c r="J84" s="274"/>
      <c r="K84" s="274"/>
      <c r="M84" s="274"/>
      <c r="N84" s="274"/>
      <c r="O84" s="274"/>
      <c r="P84" s="274"/>
      <c r="Q84" s="274"/>
      <c r="R84" s="274"/>
      <c r="S84" s="274"/>
      <c r="T84" s="274"/>
      <c r="U84" s="274"/>
    </row>
    <row r="85" spans="1:21">
      <c r="A85" s="274"/>
      <c r="B85" s="274"/>
      <c r="C85" s="274"/>
      <c r="D85" s="274"/>
      <c r="F85" s="274"/>
      <c r="G85" s="274"/>
      <c r="H85" s="274"/>
      <c r="I85" s="274"/>
      <c r="J85" s="274"/>
      <c r="K85" s="274"/>
      <c r="M85" s="274"/>
      <c r="N85" s="274"/>
      <c r="O85" s="274"/>
      <c r="P85" s="274"/>
      <c r="Q85" s="274"/>
      <c r="R85" s="274"/>
      <c r="S85" s="274"/>
      <c r="T85" s="274"/>
      <c r="U85" s="274"/>
    </row>
    <row r="86" spans="1:21">
      <c r="A86" s="274"/>
      <c r="B86" s="274"/>
      <c r="C86" s="274"/>
      <c r="D86" s="274"/>
      <c r="F86" s="274"/>
      <c r="G86" s="274"/>
      <c r="H86" s="274"/>
      <c r="I86" s="274"/>
      <c r="J86" s="274"/>
      <c r="K86" s="274"/>
      <c r="M86" s="274"/>
      <c r="N86" s="274"/>
      <c r="O86" s="274"/>
      <c r="P86" s="274"/>
      <c r="Q86" s="274"/>
      <c r="R86" s="274"/>
      <c r="S86" s="274"/>
      <c r="T86" s="274"/>
      <c r="U86" s="274"/>
    </row>
    <row r="87" spans="1:21">
      <c r="A87" s="274"/>
      <c r="B87" s="274"/>
      <c r="C87" s="274"/>
      <c r="D87" s="274"/>
      <c r="F87" s="274"/>
      <c r="G87" s="274"/>
      <c r="H87" s="274"/>
      <c r="I87" s="274"/>
      <c r="J87" s="274"/>
      <c r="K87" s="274"/>
      <c r="M87" s="274"/>
      <c r="N87" s="274"/>
      <c r="O87" s="274"/>
      <c r="P87" s="274"/>
      <c r="Q87" s="274"/>
      <c r="R87" s="274"/>
      <c r="S87" s="274"/>
      <c r="T87" s="274"/>
      <c r="U87" s="274"/>
    </row>
    <row r="88" spans="1:21">
      <c r="A88" s="274"/>
      <c r="B88" s="274"/>
      <c r="C88" s="274"/>
      <c r="D88" s="274"/>
      <c r="F88" s="274"/>
      <c r="G88" s="274"/>
      <c r="H88" s="274"/>
      <c r="I88" s="274"/>
      <c r="J88" s="274"/>
      <c r="K88" s="274"/>
      <c r="M88" s="274"/>
      <c r="N88" s="274"/>
      <c r="O88" s="274"/>
      <c r="P88" s="274"/>
      <c r="Q88" s="274"/>
      <c r="R88" s="274"/>
      <c r="S88" s="274"/>
      <c r="T88" s="274"/>
      <c r="U88" s="274"/>
    </row>
    <row r="89" spans="1:21">
      <c r="A89" s="274"/>
      <c r="B89" s="274"/>
      <c r="C89" s="274"/>
      <c r="D89" s="274"/>
      <c r="F89" s="274"/>
      <c r="G89" s="274"/>
      <c r="H89" s="274"/>
      <c r="I89" s="274"/>
      <c r="J89" s="274"/>
      <c r="K89" s="274"/>
      <c r="M89" s="274"/>
      <c r="N89" s="274"/>
      <c r="O89" s="274"/>
      <c r="P89" s="274"/>
      <c r="Q89" s="274"/>
      <c r="R89" s="274"/>
      <c r="S89" s="274"/>
      <c r="T89" s="274"/>
      <c r="U89" s="274"/>
    </row>
    <row r="90" spans="1:21">
      <c r="A90" s="274"/>
      <c r="B90" s="274"/>
      <c r="C90" s="274"/>
      <c r="D90" s="274"/>
      <c r="F90" s="274"/>
      <c r="G90" s="274"/>
      <c r="H90" s="274"/>
      <c r="I90" s="274"/>
      <c r="J90" s="274"/>
      <c r="K90" s="274"/>
      <c r="M90" s="274"/>
      <c r="N90" s="274"/>
      <c r="O90" s="274"/>
      <c r="P90" s="274"/>
      <c r="Q90" s="274"/>
      <c r="R90" s="274"/>
      <c r="S90" s="274"/>
      <c r="T90" s="274"/>
      <c r="U90" s="274"/>
    </row>
    <row r="91" spans="1:21">
      <c r="A91" s="274"/>
      <c r="B91" s="274"/>
      <c r="C91" s="274"/>
      <c r="D91" s="274"/>
      <c r="F91" s="274"/>
      <c r="G91" s="274"/>
      <c r="H91" s="274"/>
      <c r="I91" s="274"/>
      <c r="J91" s="274"/>
      <c r="K91" s="274"/>
      <c r="M91" s="274"/>
      <c r="N91" s="274"/>
      <c r="O91" s="274"/>
      <c r="P91" s="274"/>
      <c r="Q91" s="274"/>
      <c r="R91" s="274"/>
      <c r="S91" s="274"/>
      <c r="T91" s="274"/>
      <c r="U91" s="274"/>
    </row>
    <row r="92" spans="1:21">
      <c r="A92" s="274"/>
      <c r="B92" s="274"/>
      <c r="C92" s="274"/>
      <c r="D92" s="274"/>
      <c r="F92" s="274"/>
      <c r="G92" s="274"/>
      <c r="H92" s="274"/>
      <c r="I92" s="274"/>
      <c r="J92" s="274"/>
      <c r="K92" s="274"/>
      <c r="M92" s="274"/>
      <c r="N92" s="274"/>
      <c r="O92" s="274"/>
      <c r="P92" s="274"/>
      <c r="Q92" s="274"/>
      <c r="R92" s="274"/>
      <c r="S92" s="274"/>
      <c r="T92" s="274"/>
      <c r="U92" s="274"/>
    </row>
    <row r="93" spans="1:21">
      <c r="A93" s="274"/>
      <c r="B93" s="274"/>
      <c r="C93" s="274"/>
      <c r="D93" s="274"/>
      <c r="F93" s="274"/>
      <c r="G93" s="274"/>
      <c r="H93" s="274"/>
      <c r="I93" s="274"/>
      <c r="J93" s="274"/>
      <c r="K93" s="274"/>
      <c r="M93" s="274"/>
      <c r="N93" s="274"/>
      <c r="O93" s="274"/>
      <c r="P93" s="274"/>
      <c r="Q93" s="274"/>
      <c r="R93" s="274"/>
      <c r="S93" s="274"/>
      <c r="T93" s="274"/>
      <c r="U93" s="274"/>
    </row>
    <row r="94" spans="1:21">
      <c r="A94" s="274"/>
      <c r="B94" s="274"/>
      <c r="C94" s="274"/>
      <c r="D94" s="274"/>
      <c r="F94" s="274"/>
      <c r="G94" s="274"/>
      <c r="H94" s="274"/>
      <c r="I94" s="274"/>
      <c r="J94" s="274"/>
      <c r="K94" s="274"/>
      <c r="M94" s="274"/>
      <c r="N94" s="274"/>
      <c r="O94" s="274"/>
      <c r="P94" s="274"/>
      <c r="Q94" s="274"/>
      <c r="R94" s="274"/>
      <c r="S94" s="274"/>
      <c r="T94" s="274"/>
      <c r="U94" s="274"/>
    </row>
    <row r="95" spans="1:21">
      <c r="A95" s="274"/>
      <c r="B95" s="274"/>
      <c r="C95" s="274"/>
      <c r="D95" s="274"/>
      <c r="F95" s="274"/>
      <c r="G95" s="274"/>
      <c r="H95" s="274"/>
      <c r="I95" s="274"/>
      <c r="J95" s="274"/>
      <c r="K95" s="274"/>
      <c r="M95" s="274"/>
      <c r="N95" s="274"/>
      <c r="O95" s="274"/>
      <c r="P95" s="274"/>
      <c r="Q95" s="274"/>
      <c r="R95" s="274"/>
      <c r="S95" s="274"/>
      <c r="T95" s="274"/>
      <c r="U95" s="274"/>
    </row>
    <row r="96" spans="1:21">
      <c r="A96" s="274"/>
      <c r="B96" s="274"/>
      <c r="C96" s="274"/>
      <c r="D96" s="274"/>
      <c r="F96" s="274"/>
      <c r="G96" s="274"/>
      <c r="H96" s="274"/>
      <c r="I96" s="274"/>
      <c r="J96" s="274"/>
      <c r="K96" s="274"/>
      <c r="M96" s="274"/>
      <c r="N96" s="274"/>
      <c r="O96" s="274"/>
      <c r="P96" s="274"/>
      <c r="Q96" s="274"/>
      <c r="R96" s="274"/>
      <c r="S96" s="274"/>
      <c r="T96" s="274"/>
      <c r="U96" s="274"/>
    </row>
    <row r="97" spans="1:21">
      <c r="A97" s="274"/>
      <c r="B97" s="274"/>
      <c r="C97" s="274"/>
      <c r="D97" s="274"/>
      <c r="F97" s="274"/>
      <c r="G97" s="274"/>
      <c r="H97" s="274"/>
      <c r="I97" s="274"/>
      <c r="J97" s="274"/>
      <c r="K97" s="274"/>
      <c r="M97" s="274"/>
      <c r="N97" s="274"/>
      <c r="O97" s="274"/>
      <c r="P97" s="274"/>
      <c r="Q97" s="274"/>
      <c r="R97" s="274"/>
      <c r="S97" s="274"/>
      <c r="T97" s="274"/>
      <c r="U97" s="274"/>
    </row>
    <row r="98" spans="1:21">
      <c r="A98" s="274"/>
      <c r="B98" s="274"/>
      <c r="C98" s="274"/>
      <c r="D98" s="274"/>
      <c r="F98" s="274"/>
      <c r="G98" s="274"/>
      <c r="H98" s="274"/>
      <c r="I98" s="274"/>
      <c r="J98" s="274"/>
      <c r="K98" s="274"/>
      <c r="M98" s="274"/>
      <c r="N98" s="274"/>
      <c r="O98" s="274"/>
      <c r="P98" s="274"/>
      <c r="Q98" s="274"/>
      <c r="R98" s="274"/>
      <c r="S98" s="274"/>
      <c r="T98" s="274"/>
      <c r="U98" s="274"/>
    </row>
    <row r="99" spans="1:21">
      <c r="A99" s="274"/>
      <c r="B99" s="274"/>
      <c r="C99" s="274"/>
      <c r="D99" s="274"/>
      <c r="F99" s="274"/>
      <c r="G99" s="274"/>
      <c r="H99" s="274"/>
      <c r="I99" s="274"/>
      <c r="J99" s="274"/>
      <c r="K99" s="274"/>
      <c r="M99" s="274"/>
      <c r="N99" s="274"/>
      <c r="O99" s="274"/>
      <c r="P99" s="274"/>
      <c r="Q99" s="274"/>
      <c r="R99" s="274"/>
      <c r="S99" s="274"/>
      <c r="T99" s="274"/>
      <c r="U99" s="274"/>
    </row>
    <row r="100" spans="1:21">
      <c r="A100" s="274"/>
      <c r="B100" s="274"/>
      <c r="C100" s="274"/>
      <c r="D100" s="274"/>
      <c r="F100" s="274"/>
      <c r="G100" s="274"/>
      <c r="H100" s="274"/>
      <c r="I100" s="274"/>
      <c r="J100" s="274"/>
      <c r="K100" s="274"/>
      <c r="M100" s="274"/>
      <c r="N100" s="274"/>
      <c r="O100" s="274"/>
      <c r="P100" s="274"/>
      <c r="Q100" s="274"/>
      <c r="R100" s="274"/>
      <c r="S100" s="274"/>
      <c r="T100" s="274"/>
      <c r="U100" s="274"/>
    </row>
    <row r="101" spans="1:21">
      <c r="A101" s="274"/>
      <c r="B101" s="274"/>
      <c r="C101" s="274"/>
      <c r="D101" s="274"/>
      <c r="F101" s="274"/>
      <c r="G101" s="274"/>
      <c r="H101" s="274"/>
      <c r="I101" s="274"/>
      <c r="J101" s="274"/>
      <c r="K101" s="274"/>
      <c r="M101" s="274"/>
      <c r="N101" s="274"/>
      <c r="O101" s="274"/>
      <c r="P101" s="274"/>
      <c r="Q101" s="274"/>
      <c r="R101" s="274"/>
      <c r="S101" s="274"/>
      <c r="T101" s="274"/>
      <c r="U101" s="274"/>
    </row>
    <row r="102" spans="1:21">
      <c r="A102" s="274"/>
      <c r="B102" s="274"/>
      <c r="C102" s="274"/>
      <c r="D102" s="274"/>
      <c r="F102" s="274"/>
      <c r="G102" s="274"/>
      <c r="H102" s="274"/>
      <c r="I102" s="274"/>
      <c r="J102" s="274"/>
      <c r="K102" s="274"/>
      <c r="M102" s="274"/>
      <c r="N102" s="274"/>
      <c r="O102" s="274"/>
      <c r="P102" s="274"/>
      <c r="Q102" s="274"/>
      <c r="R102" s="274"/>
      <c r="S102" s="274"/>
      <c r="T102" s="274"/>
      <c r="U102" s="274"/>
    </row>
    <row r="103" spans="1:21">
      <c r="A103" s="274"/>
      <c r="B103" s="274"/>
      <c r="C103" s="274"/>
      <c r="D103" s="274"/>
      <c r="F103" s="274"/>
      <c r="G103" s="274"/>
      <c r="H103" s="274"/>
      <c r="I103" s="274"/>
      <c r="J103" s="274"/>
      <c r="K103" s="274"/>
      <c r="M103" s="274"/>
      <c r="N103" s="274"/>
      <c r="O103" s="274"/>
      <c r="P103" s="274"/>
      <c r="Q103" s="274"/>
      <c r="R103" s="274"/>
      <c r="S103" s="274"/>
      <c r="T103" s="274"/>
      <c r="U103" s="274"/>
    </row>
    <row r="104" spans="1:21">
      <c r="A104" s="274"/>
      <c r="B104" s="274"/>
      <c r="C104" s="274"/>
      <c r="D104" s="274"/>
      <c r="F104" s="274"/>
      <c r="G104" s="274"/>
      <c r="H104" s="274"/>
      <c r="I104" s="274"/>
      <c r="J104" s="274"/>
      <c r="K104" s="274"/>
      <c r="M104" s="274"/>
      <c r="N104" s="274"/>
      <c r="O104" s="274"/>
      <c r="P104" s="274"/>
      <c r="Q104" s="274"/>
      <c r="R104" s="274"/>
      <c r="S104" s="274"/>
      <c r="T104" s="274"/>
      <c r="U104" s="274"/>
    </row>
    <row r="105" spans="1:21">
      <c r="A105" s="274"/>
      <c r="B105" s="274"/>
      <c r="C105" s="274"/>
      <c r="D105" s="274"/>
      <c r="F105" s="274"/>
      <c r="G105" s="274"/>
      <c r="H105" s="274"/>
      <c r="I105" s="274"/>
      <c r="J105" s="274"/>
      <c r="K105" s="274"/>
      <c r="M105" s="274"/>
      <c r="N105" s="274"/>
      <c r="O105" s="274"/>
      <c r="P105" s="274"/>
      <c r="Q105" s="274"/>
      <c r="R105" s="274"/>
      <c r="S105" s="274"/>
      <c r="T105" s="274"/>
      <c r="U105" s="274"/>
    </row>
    <row r="106" spans="1:21">
      <c r="A106" s="274"/>
      <c r="B106" s="274"/>
      <c r="C106" s="274"/>
      <c r="D106" s="274"/>
      <c r="F106" s="274"/>
      <c r="G106" s="274"/>
      <c r="H106" s="274"/>
      <c r="I106" s="274"/>
      <c r="J106" s="274"/>
      <c r="K106" s="274"/>
      <c r="M106" s="274"/>
      <c r="N106" s="274"/>
      <c r="O106" s="274"/>
      <c r="P106" s="274"/>
      <c r="Q106" s="274"/>
      <c r="R106" s="274"/>
      <c r="S106" s="274"/>
      <c r="T106" s="274"/>
      <c r="U106" s="274"/>
    </row>
    <row r="107" spans="1:21">
      <c r="A107" s="274"/>
      <c r="B107" s="274"/>
      <c r="C107" s="274"/>
      <c r="D107" s="274"/>
      <c r="F107" s="274"/>
      <c r="G107" s="274"/>
      <c r="H107" s="274"/>
      <c r="I107" s="274"/>
      <c r="J107" s="274"/>
      <c r="K107" s="274"/>
      <c r="M107" s="274"/>
      <c r="N107" s="274"/>
      <c r="O107" s="274"/>
      <c r="P107" s="274"/>
      <c r="Q107" s="274"/>
      <c r="R107" s="274"/>
      <c r="S107" s="274"/>
      <c r="T107" s="274"/>
      <c r="U107" s="274"/>
    </row>
    <row r="108" spans="1:21">
      <c r="A108" s="274"/>
      <c r="B108" s="274"/>
      <c r="C108" s="274"/>
      <c r="D108" s="274"/>
      <c r="F108" s="274"/>
      <c r="G108" s="274"/>
      <c r="H108" s="274"/>
      <c r="I108" s="274"/>
      <c r="J108" s="274"/>
      <c r="K108" s="274"/>
      <c r="M108" s="274"/>
      <c r="N108" s="274"/>
      <c r="O108" s="274"/>
      <c r="P108" s="274"/>
      <c r="Q108" s="274"/>
      <c r="R108" s="274"/>
      <c r="S108" s="274"/>
      <c r="T108" s="274"/>
      <c r="U108" s="274"/>
    </row>
    <row r="109" spans="1:21">
      <c r="A109" s="274"/>
      <c r="B109" s="274"/>
      <c r="C109" s="274"/>
      <c r="D109" s="274"/>
      <c r="F109" s="274"/>
      <c r="G109" s="274"/>
      <c r="H109" s="274"/>
      <c r="I109" s="274"/>
      <c r="J109" s="274"/>
      <c r="K109" s="274"/>
      <c r="M109" s="274"/>
      <c r="N109" s="274"/>
      <c r="O109" s="274"/>
      <c r="P109" s="274"/>
      <c r="Q109" s="274"/>
      <c r="R109" s="274"/>
      <c r="S109" s="274"/>
      <c r="T109" s="274"/>
      <c r="U109" s="274"/>
    </row>
    <row r="110" spans="1:21">
      <c r="A110" s="274"/>
      <c r="B110" s="274"/>
      <c r="C110" s="274"/>
      <c r="D110" s="274"/>
      <c r="F110" s="274"/>
      <c r="G110" s="274"/>
      <c r="H110" s="274"/>
      <c r="I110" s="274"/>
      <c r="J110" s="274"/>
      <c r="K110" s="274"/>
      <c r="M110" s="274"/>
      <c r="N110" s="274"/>
      <c r="O110" s="274"/>
      <c r="P110" s="274"/>
      <c r="Q110" s="274"/>
      <c r="R110" s="274"/>
      <c r="S110" s="274"/>
      <c r="T110" s="274"/>
      <c r="U110" s="274"/>
    </row>
    <row r="111" spans="1:21">
      <c r="A111" s="274"/>
      <c r="B111" s="274"/>
      <c r="C111" s="274"/>
      <c r="D111" s="274"/>
      <c r="F111" s="274"/>
      <c r="G111" s="274"/>
      <c r="H111" s="274"/>
      <c r="I111" s="274"/>
      <c r="J111" s="274"/>
      <c r="K111" s="274"/>
      <c r="M111" s="274"/>
      <c r="N111" s="274"/>
      <c r="O111" s="274"/>
      <c r="P111" s="274"/>
      <c r="Q111" s="274"/>
      <c r="R111" s="274"/>
      <c r="S111" s="274"/>
      <c r="T111" s="274"/>
      <c r="U111" s="274"/>
    </row>
    <row r="112" spans="1:21">
      <c r="A112" s="274"/>
      <c r="B112" s="274"/>
      <c r="C112" s="274"/>
      <c r="D112" s="274"/>
      <c r="F112" s="274"/>
      <c r="G112" s="274"/>
      <c r="H112" s="274"/>
      <c r="I112" s="274"/>
      <c r="J112" s="274"/>
      <c r="K112" s="274"/>
      <c r="M112" s="274"/>
      <c r="N112" s="274"/>
      <c r="O112" s="274"/>
      <c r="P112" s="274"/>
      <c r="Q112" s="274"/>
      <c r="R112" s="274"/>
      <c r="S112" s="274"/>
      <c r="T112" s="274"/>
      <c r="U112" s="274"/>
    </row>
    <row r="113" spans="1:21">
      <c r="A113" s="274"/>
      <c r="B113" s="274"/>
      <c r="C113" s="274"/>
      <c r="D113" s="274"/>
      <c r="F113" s="274"/>
      <c r="G113" s="274"/>
      <c r="H113" s="274"/>
      <c r="I113" s="274"/>
      <c r="J113" s="274"/>
      <c r="K113" s="274"/>
      <c r="M113" s="274"/>
      <c r="N113" s="274"/>
      <c r="O113" s="274"/>
      <c r="P113" s="274"/>
      <c r="Q113" s="274"/>
      <c r="R113" s="274"/>
      <c r="S113" s="274"/>
      <c r="T113" s="274"/>
      <c r="U113" s="274"/>
    </row>
    <row r="114" spans="1:21">
      <c r="A114" s="274"/>
      <c r="B114" s="274"/>
      <c r="C114" s="274"/>
      <c r="D114" s="274"/>
      <c r="F114" s="274"/>
      <c r="G114" s="274"/>
      <c r="H114" s="274"/>
      <c r="I114" s="274"/>
      <c r="J114" s="274"/>
      <c r="K114" s="274"/>
      <c r="M114" s="274"/>
      <c r="N114" s="274"/>
      <c r="O114" s="274"/>
      <c r="P114" s="274"/>
      <c r="Q114" s="274"/>
      <c r="R114" s="274"/>
      <c r="S114" s="274"/>
      <c r="T114" s="274"/>
      <c r="U114" s="274"/>
    </row>
    <row r="115" spans="1:21">
      <c r="A115" s="274"/>
      <c r="B115" s="274"/>
      <c r="C115" s="274"/>
      <c r="D115" s="274"/>
      <c r="F115" s="274"/>
      <c r="G115" s="274"/>
      <c r="H115" s="274"/>
      <c r="I115" s="274"/>
      <c r="J115" s="274"/>
      <c r="K115" s="274"/>
      <c r="M115" s="274"/>
      <c r="N115" s="274"/>
      <c r="O115" s="274"/>
      <c r="P115" s="274"/>
      <c r="Q115" s="274"/>
      <c r="R115" s="274"/>
      <c r="S115" s="274"/>
      <c r="T115" s="274"/>
      <c r="U115" s="274"/>
    </row>
    <row r="116" spans="1:21">
      <c r="A116" s="274"/>
      <c r="B116" s="274"/>
      <c r="C116" s="274"/>
      <c r="D116" s="274"/>
      <c r="F116" s="274"/>
      <c r="G116" s="274"/>
      <c r="H116" s="274"/>
      <c r="I116" s="274"/>
      <c r="J116" s="274"/>
      <c r="K116" s="274"/>
      <c r="M116" s="274"/>
      <c r="N116" s="274"/>
      <c r="O116" s="274"/>
      <c r="P116" s="274"/>
      <c r="Q116" s="274"/>
      <c r="R116" s="274"/>
      <c r="S116" s="274"/>
      <c r="T116" s="274"/>
      <c r="U116" s="274"/>
    </row>
    <row r="117" spans="1:21">
      <c r="A117" s="274"/>
      <c r="B117" s="274"/>
      <c r="C117" s="274"/>
      <c r="D117" s="274"/>
      <c r="F117" s="274"/>
      <c r="G117" s="274"/>
      <c r="H117" s="274"/>
      <c r="I117" s="274"/>
      <c r="J117" s="274"/>
      <c r="K117" s="274"/>
      <c r="M117" s="274"/>
      <c r="N117" s="274"/>
      <c r="O117" s="274"/>
      <c r="P117" s="274"/>
      <c r="Q117" s="274"/>
      <c r="R117" s="274"/>
      <c r="S117" s="274"/>
      <c r="T117" s="274"/>
      <c r="U117" s="274"/>
    </row>
    <row r="118" spans="1:21">
      <c r="A118" s="274"/>
      <c r="B118" s="274"/>
      <c r="C118" s="274"/>
      <c r="D118" s="274"/>
      <c r="F118" s="274"/>
      <c r="G118" s="274"/>
      <c r="H118" s="274"/>
      <c r="I118" s="274"/>
      <c r="J118" s="274"/>
      <c r="K118" s="274"/>
      <c r="M118" s="274"/>
      <c r="N118" s="274"/>
      <c r="O118" s="274"/>
      <c r="P118" s="274"/>
      <c r="Q118" s="274"/>
      <c r="R118" s="274"/>
      <c r="S118" s="274"/>
      <c r="T118" s="274"/>
      <c r="U118" s="274"/>
    </row>
    <row r="119" spans="1:21">
      <c r="A119" s="274"/>
      <c r="B119" s="274"/>
      <c r="C119" s="274"/>
      <c r="D119" s="274"/>
      <c r="F119" s="274"/>
      <c r="G119" s="274"/>
      <c r="H119" s="274"/>
      <c r="I119" s="274"/>
      <c r="J119" s="274"/>
      <c r="K119" s="274"/>
      <c r="M119" s="274"/>
      <c r="N119" s="274"/>
      <c r="O119" s="274"/>
      <c r="P119" s="274"/>
      <c r="Q119" s="274"/>
      <c r="R119" s="274"/>
      <c r="S119" s="274"/>
      <c r="T119" s="274"/>
      <c r="U119" s="274"/>
    </row>
    <row r="120" spans="1:21">
      <c r="A120" s="274"/>
      <c r="B120" s="274"/>
      <c r="C120" s="274"/>
      <c r="D120" s="274"/>
      <c r="F120" s="274"/>
      <c r="G120" s="274"/>
      <c r="H120" s="274"/>
      <c r="I120" s="274"/>
      <c r="J120" s="274"/>
      <c r="K120" s="274"/>
      <c r="M120" s="274"/>
      <c r="N120" s="274"/>
      <c r="O120" s="274"/>
      <c r="P120" s="274"/>
      <c r="Q120" s="274"/>
      <c r="R120" s="274"/>
      <c r="S120" s="274"/>
      <c r="T120" s="274"/>
      <c r="U120" s="274"/>
    </row>
    <row r="121" spans="1:21">
      <c r="A121" s="274"/>
      <c r="B121" s="274"/>
      <c r="C121" s="274"/>
      <c r="D121" s="274"/>
      <c r="F121" s="274"/>
      <c r="G121" s="274"/>
      <c r="H121" s="274"/>
      <c r="I121" s="274"/>
      <c r="J121" s="274"/>
      <c r="K121" s="274"/>
      <c r="M121" s="274"/>
      <c r="N121" s="274"/>
      <c r="O121" s="274"/>
      <c r="P121" s="274"/>
      <c r="Q121" s="274"/>
      <c r="R121" s="274"/>
      <c r="S121" s="274"/>
      <c r="T121" s="274"/>
      <c r="U121" s="274"/>
    </row>
    <row r="122" spans="1:21">
      <c r="A122" s="274"/>
      <c r="B122" s="274"/>
      <c r="C122" s="274"/>
      <c r="D122" s="274"/>
      <c r="F122" s="274"/>
      <c r="G122" s="274"/>
      <c r="H122" s="274"/>
      <c r="I122" s="274"/>
      <c r="J122" s="274"/>
      <c r="K122" s="274"/>
      <c r="M122" s="274"/>
      <c r="N122" s="274"/>
      <c r="O122" s="274"/>
      <c r="P122" s="274"/>
      <c r="Q122" s="274"/>
      <c r="R122" s="274"/>
      <c r="S122" s="274"/>
      <c r="T122" s="274"/>
      <c r="U122" s="274"/>
    </row>
    <row r="123" spans="1:21">
      <c r="A123" s="274"/>
      <c r="B123" s="274"/>
      <c r="C123" s="274"/>
      <c r="D123" s="274"/>
      <c r="F123" s="274"/>
      <c r="G123" s="274"/>
      <c r="H123" s="274"/>
      <c r="I123" s="274"/>
      <c r="J123" s="274"/>
      <c r="K123" s="274"/>
      <c r="M123" s="274"/>
      <c r="N123" s="274"/>
      <c r="O123" s="274"/>
      <c r="P123" s="274"/>
      <c r="Q123" s="274"/>
      <c r="R123" s="274"/>
      <c r="S123" s="274"/>
      <c r="T123" s="274"/>
      <c r="U123" s="274"/>
    </row>
    <row r="124" spans="1:21">
      <c r="A124" s="274"/>
      <c r="B124" s="274"/>
      <c r="C124" s="274"/>
      <c r="D124" s="274"/>
      <c r="F124" s="274"/>
      <c r="G124" s="274"/>
      <c r="H124" s="274"/>
      <c r="I124" s="274"/>
      <c r="J124" s="274"/>
      <c r="K124" s="274"/>
      <c r="M124" s="274"/>
      <c r="N124" s="274"/>
      <c r="O124" s="274"/>
      <c r="P124" s="274"/>
      <c r="Q124" s="274"/>
      <c r="R124" s="274"/>
      <c r="S124" s="274"/>
      <c r="T124" s="274"/>
      <c r="U124" s="274"/>
    </row>
    <row r="125" spans="1:21">
      <c r="A125" s="274"/>
      <c r="B125" s="274"/>
      <c r="C125" s="274"/>
      <c r="D125" s="274"/>
      <c r="F125" s="274"/>
      <c r="G125" s="274"/>
      <c r="H125" s="274"/>
      <c r="I125" s="274"/>
      <c r="J125" s="274"/>
      <c r="K125" s="274"/>
      <c r="M125" s="274"/>
      <c r="N125" s="274"/>
      <c r="O125" s="274"/>
      <c r="P125" s="274"/>
      <c r="Q125" s="274"/>
      <c r="R125" s="274"/>
      <c r="S125" s="274"/>
      <c r="T125" s="274"/>
      <c r="U125" s="274"/>
    </row>
    <row r="126" spans="1:21">
      <c r="A126" s="274"/>
      <c r="B126" s="274"/>
      <c r="C126" s="274"/>
      <c r="D126" s="274"/>
      <c r="F126" s="274"/>
      <c r="G126" s="274"/>
      <c r="H126" s="274"/>
      <c r="I126" s="274"/>
      <c r="J126" s="274"/>
      <c r="K126" s="274"/>
      <c r="M126" s="274"/>
      <c r="N126" s="274"/>
      <c r="O126" s="274"/>
      <c r="P126" s="274"/>
      <c r="Q126" s="274"/>
      <c r="R126" s="274"/>
      <c r="S126" s="274"/>
      <c r="T126" s="274"/>
      <c r="U126" s="274"/>
    </row>
    <row r="127" spans="1:21">
      <c r="A127" s="274"/>
      <c r="B127" s="274"/>
      <c r="C127" s="274"/>
      <c r="D127" s="274"/>
      <c r="F127" s="274"/>
      <c r="G127" s="274"/>
      <c r="H127" s="274"/>
      <c r="I127" s="274"/>
      <c r="J127" s="274"/>
      <c r="K127" s="274"/>
      <c r="M127" s="274"/>
      <c r="N127" s="274"/>
      <c r="O127" s="274"/>
      <c r="P127" s="274"/>
      <c r="Q127" s="274"/>
      <c r="R127" s="274"/>
      <c r="S127" s="274"/>
      <c r="T127" s="274"/>
      <c r="U127" s="274"/>
    </row>
    <row r="128" spans="1:21">
      <c r="A128" s="274"/>
      <c r="B128" s="274"/>
      <c r="C128" s="274"/>
      <c r="D128" s="274"/>
      <c r="F128" s="274"/>
      <c r="G128" s="274"/>
      <c r="H128" s="274"/>
      <c r="I128" s="274"/>
      <c r="J128" s="274"/>
      <c r="K128" s="274"/>
      <c r="M128" s="274"/>
      <c r="N128" s="274"/>
      <c r="O128" s="274"/>
      <c r="P128" s="274"/>
      <c r="Q128" s="274"/>
      <c r="R128" s="274"/>
      <c r="S128" s="274"/>
      <c r="T128" s="274"/>
      <c r="U128" s="274"/>
    </row>
    <row r="129" spans="1:21">
      <c r="A129" s="274"/>
      <c r="B129" s="274"/>
      <c r="C129" s="274"/>
      <c r="D129" s="274"/>
      <c r="F129" s="274"/>
      <c r="G129" s="274"/>
      <c r="H129" s="274"/>
      <c r="I129" s="274"/>
      <c r="J129" s="274"/>
      <c r="K129" s="274"/>
      <c r="M129" s="274"/>
      <c r="N129" s="274"/>
      <c r="O129" s="274"/>
      <c r="P129" s="274"/>
      <c r="Q129" s="274"/>
      <c r="R129" s="274"/>
      <c r="S129" s="274"/>
      <c r="T129" s="274"/>
      <c r="U129" s="274"/>
    </row>
    <row r="130" spans="1:21">
      <c r="A130" s="274"/>
      <c r="B130" s="274"/>
      <c r="C130" s="274"/>
      <c r="D130" s="274"/>
      <c r="F130" s="274"/>
      <c r="G130" s="274"/>
      <c r="H130" s="274"/>
      <c r="I130" s="274"/>
      <c r="J130" s="274"/>
      <c r="K130" s="274"/>
      <c r="M130" s="274"/>
      <c r="N130" s="274"/>
      <c r="O130" s="274"/>
      <c r="P130" s="274"/>
      <c r="Q130" s="274"/>
      <c r="R130" s="274"/>
      <c r="S130" s="274"/>
      <c r="T130" s="274"/>
      <c r="U130" s="274"/>
    </row>
    <row r="131" spans="1:21">
      <c r="A131" s="274"/>
      <c r="B131" s="274"/>
      <c r="C131" s="274"/>
      <c r="D131" s="274"/>
      <c r="F131" s="274"/>
      <c r="G131" s="274"/>
      <c r="H131" s="274"/>
      <c r="I131" s="274"/>
      <c r="J131" s="274"/>
      <c r="K131" s="274"/>
      <c r="M131" s="274"/>
      <c r="N131" s="274"/>
      <c r="O131" s="274"/>
      <c r="P131" s="274"/>
      <c r="Q131" s="274"/>
      <c r="R131" s="274"/>
      <c r="S131" s="274"/>
      <c r="T131" s="274"/>
      <c r="U131" s="274"/>
    </row>
    <row r="132" spans="1:21">
      <c r="A132" s="274"/>
      <c r="B132" s="274"/>
      <c r="C132" s="274"/>
      <c r="D132" s="274"/>
      <c r="F132" s="274"/>
      <c r="G132" s="274"/>
      <c r="H132" s="274"/>
      <c r="I132" s="274"/>
      <c r="J132" s="274"/>
      <c r="K132" s="274"/>
      <c r="M132" s="274"/>
      <c r="N132" s="274"/>
      <c r="O132" s="274"/>
      <c r="P132" s="274"/>
      <c r="Q132" s="274"/>
      <c r="R132" s="274"/>
      <c r="S132" s="274"/>
      <c r="T132" s="274"/>
      <c r="U132" s="274"/>
    </row>
    <row r="133" spans="1:21">
      <c r="A133" s="274"/>
      <c r="B133" s="274"/>
      <c r="C133" s="274"/>
      <c r="D133" s="274"/>
      <c r="F133" s="274"/>
      <c r="G133" s="274"/>
      <c r="H133" s="274"/>
      <c r="I133" s="274"/>
      <c r="J133" s="274"/>
      <c r="K133" s="274"/>
      <c r="M133" s="274"/>
      <c r="N133" s="274"/>
      <c r="O133" s="274"/>
      <c r="P133" s="274"/>
      <c r="Q133" s="274"/>
      <c r="R133" s="274"/>
      <c r="S133" s="274"/>
      <c r="T133" s="274"/>
      <c r="U133" s="274"/>
    </row>
    <row r="134" spans="1:21">
      <c r="A134" s="274"/>
      <c r="B134" s="274"/>
      <c r="C134" s="274"/>
      <c r="D134" s="274"/>
      <c r="F134" s="274"/>
      <c r="G134" s="274"/>
      <c r="H134" s="274"/>
      <c r="I134" s="274"/>
      <c r="J134" s="274"/>
      <c r="K134" s="274"/>
      <c r="M134" s="274"/>
      <c r="N134" s="274"/>
      <c r="O134" s="274"/>
      <c r="P134" s="274"/>
      <c r="Q134" s="274"/>
      <c r="R134" s="274"/>
      <c r="S134" s="274"/>
      <c r="T134" s="274"/>
      <c r="U134" s="274"/>
    </row>
    <row r="135" spans="1:21">
      <c r="A135" s="274"/>
      <c r="B135" s="274"/>
      <c r="C135" s="274"/>
      <c r="D135" s="274"/>
      <c r="F135" s="274"/>
      <c r="G135" s="274"/>
      <c r="H135" s="274"/>
      <c r="I135" s="274"/>
      <c r="J135" s="274"/>
      <c r="K135" s="274"/>
      <c r="M135" s="274"/>
      <c r="N135" s="274"/>
      <c r="O135" s="274"/>
      <c r="P135" s="274"/>
      <c r="Q135" s="274"/>
      <c r="R135" s="274"/>
      <c r="S135" s="274"/>
      <c r="T135" s="274"/>
      <c r="U135" s="274"/>
    </row>
    <row r="136" spans="1:21">
      <c r="A136" s="274"/>
      <c r="B136" s="274"/>
      <c r="C136" s="274"/>
      <c r="D136" s="274"/>
      <c r="F136" s="274"/>
      <c r="G136" s="274"/>
      <c r="H136" s="274"/>
      <c r="I136" s="274"/>
      <c r="J136" s="274"/>
      <c r="K136" s="274"/>
      <c r="M136" s="274"/>
      <c r="N136" s="274"/>
      <c r="O136" s="274"/>
      <c r="P136" s="274"/>
      <c r="Q136" s="274"/>
      <c r="R136" s="274"/>
      <c r="S136" s="274"/>
      <c r="T136" s="274"/>
      <c r="U136" s="274"/>
    </row>
    <row r="137" spans="1:21">
      <c r="A137" s="274"/>
      <c r="B137" s="274"/>
      <c r="C137" s="274"/>
      <c r="D137" s="274"/>
      <c r="F137" s="274"/>
      <c r="G137" s="274"/>
      <c r="H137" s="274"/>
      <c r="I137" s="274"/>
      <c r="J137" s="274"/>
      <c r="K137" s="274"/>
      <c r="M137" s="274"/>
      <c r="N137" s="274"/>
      <c r="O137" s="274"/>
      <c r="P137" s="274"/>
      <c r="Q137" s="274"/>
      <c r="R137" s="274"/>
      <c r="S137" s="274"/>
      <c r="T137" s="274"/>
      <c r="U137" s="274"/>
    </row>
    <row r="138" spans="1:21">
      <c r="A138" s="274"/>
      <c r="B138" s="274"/>
      <c r="C138" s="274"/>
      <c r="D138" s="274"/>
      <c r="F138" s="274"/>
      <c r="G138" s="274"/>
      <c r="H138" s="274"/>
      <c r="I138" s="274"/>
      <c r="J138" s="274"/>
      <c r="K138" s="274"/>
      <c r="M138" s="274"/>
      <c r="N138" s="274"/>
      <c r="O138" s="274"/>
      <c r="P138" s="274"/>
      <c r="Q138" s="274"/>
      <c r="R138" s="274"/>
      <c r="S138" s="274"/>
      <c r="T138" s="274"/>
      <c r="U138" s="274"/>
    </row>
    <row r="139" spans="1:21">
      <c r="A139" s="274"/>
      <c r="B139" s="274"/>
      <c r="C139" s="274"/>
      <c r="D139" s="274"/>
      <c r="F139" s="274"/>
      <c r="G139" s="274"/>
      <c r="H139" s="274"/>
      <c r="I139" s="274"/>
      <c r="J139" s="274"/>
      <c r="K139" s="274"/>
      <c r="M139" s="274"/>
      <c r="N139" s="274"/>
      <c r="O139" s="274"/>
      <c r="P139" s="274"/>
      <c r="Q139" s="274"/>
      <c r="R139" s="274"/>
      <c r="S139" s="274"/>
      <c r="T139" s="274"/>
      <c r="U139" s="274"/>
    </row>
    <row r="140" spans="1:21">
      <c r="A140" s="274"/>
      <c r="B140" s="274"/>
      <c r="C140" s="274"/>
      <c r="D140" s="274"/>
      <c r="F140" s="274"/>
      <c r="G140" s="274"/>
      <c r="H140" s="274"/>
      <c r="I140" s="274"/>
      <c r="J140" s="274"/>
      <c r="K140" s="274"/>
      <c r="M140" s="274"/>
      <c r="N140" s="274"/>
      <c r="O140" s="274"/>
      <c r="P140" s="274"/>
      <c r="Q140" s="274"/>
      <c r="R140" s="274"/>
      <c r="S140" s="274"/>
      <c r="T140" s="274"/>
      <c r="U140" s="274"/>
    </row>
    <row r="141" spans="1:21">
      <c r="A141" s="274"/>
      <c r="B141" s="274"/>
      <c r="C141" s="274"/>
      <c r="D141" s="274"/>
      <c r="F141" s="274"/>
      <c r="G141" s="274"/>
      <c r="H141" s="274"/>
      <c r="I141" s="274"/>
      <c r="J141" s="274"/>
      <c r="K141" s="274"/>
      <c r="M141" s="274"/>
      <c r="N141" s="274"/>
      <c r="O141" s="274"/>
      <c r="P141" s="274"/>
      <c r="Q141" s="274"/>
      <c r="R141" s="274"/>
      <c r="S141" s="274"/>
      <c r="T141" s="274"/>
      <c r="U141" s="274"/>
    </row>
    <row r="142" spans="1:21">
      <c r="A142" s="274"/>
      <c r="B142" s="274"/>
      <c r="C142" s="274"/>
      <c r="D142" s="274"/>
      <c r="F142" s="274"/>
      <c r="G142" s="274"/>
      <c r="H142" s="274"/>
      <c r="I142" s="274"/>
      <c r="J142" s="274"/>
      <c r="K142" s="274"/>
      <c r="M142" s="274"/>
      <c r="N142" s="274"/>
      <c r="O142" s="274"/>
      <c r="P142" s="274"/>
      <c r="Q142" s="274"/>
      <c r="R142" s="274"/>
      <c r="S142" s="274"/>
      <c r="T142" s="274"/>
      <c r="U142" s="274"/>
    </row>
    <row r="143" spans="1:21">
      <c r="A143" s="274"/>
      <c r="B143" s="274"/>
      <c r="C143" s="274"/>
      <c r="D143" s="274"/>
      <c r="F143" s="274"/>
      <c r="G143" s="274"/>
      <c r="H143" s="274"/>
      <c r="I143" s="274"/>
      <c r="J143" s="274"/>
      <c r="K143" s="274"/>
      <c r="M143" s="274"/>
      <c r="N143" s="274"/>
      <c r="O143" s="274"/>
      <c r="P143" s="274"/>
      <c r="Q143" s="274"/>
      <c r="R143" s="274"/>
      <c r="S143" s="274"/>
      <c r="T143" s="274"/>
      <c r="U143" s="274"/>
    </row>
    <row r="144" spans="1:21">
      <c r="A144" s="274"/>
      <c r="B144" s="274"/>
      <c r="C144" s="274"/>
      <c r="D144" s="274"/>
      <c r="F144" s="274"/>
      <c r="G144" s="274"/>
      <c r="H144" s="274"/>
      <c r="I144" s="274"/>
      <c r="J144" s="274"/>
      <c r="K144" s="274"/>
      <c r="M144" s="274"/>
      <c r="N144" s="274"/>
      <c r="O144" s="274"/>
      <c r="P144" s="274"/>
      <c r="Q144" s="274"/>
      <c r="R144" s="274"/>
      <c r="S144" s="274"/>
      <c r="T144" s="274"/>
      <c r="U144" s="274"/>
    </row>
    <row r="145" spans="1:21">
      <c r="A145" s="274"/>
      <c r="B145" s="274"/>
      <c r="C145" s="274"/>
      <c r="D145" s="274"/>
      <c r="F145" s="274"/>
      <c r="G145" s="274"/>
      <c r="H145" s="274"/>
      <c r="I145" s="274"/>
      <c r="J145" s="274"/>
      <c r="K145" s="274"/>
      <c r="M145" s="274"/>
      <c r="N145" s="274"/>
      <c r="O145" s="274"/>
      <c r="P145" s="274"/>
      <c r="Q145" s="274"/>
      <c r="R145" s="274"/>
      <c r="S145" s="274"/>
      <c r="T145" s="274"/>
      <c r="U145" s="274"/>
    </row>
    <row r="146" spans="1:21">
      <c r="A146" s="274"/>
      <c r="B146" s="274"/>
      <c r="C146" s="274"/>
      <c r="D146" s="274"/>
      <c r="F146" s="274"/>
      <c r="G146" s="274"/>
      <c r="H146" s="274"/>
      <c r="I146" s="274"/>
      <c r="J146" s="274"/>
      <c r="K146" s="274"/>
      <c r="M146" s="274"/>
      <c r="N146" s="274"/>
      <c r="O146" s="274"/>
      <c r="P146" s="274"/>
      <c r="Q146" s="274"/>
      <c r="R146" s="274"/>
      <c r="S146" s="274"/>
      <c r="T146" s="274"/>
      <c r="U146" s="274"/>
    </row>
    <row r="147" spans="1:21">
      <c r="A147" s="274"/>
      <c r="B147" s="274"/>
      <c r="C147" s="274"/>
      <c r="D147" s="274"/>
      <c r="F147" s="274"/>
      <c r="G147" s="274"/>
      <c r="H147" s="274"/>
      <c r="I147" s="274"/>
      <c r="J147" s="274"/>
      <c r="K147" s="274"/>
      <c r="M147" s="274"/>
      <c r="N147" s="274"/>
      <c r="O147" s="274"/>
      <c r="P147" s="274"/>
      <c r="Q147" s="274"/>
      <c r="R147" s="274"/>
      <c r="S147" s="274"/>
      <c r="T147" s="274"/>
      <c r="U147" s="274"/>
    </row>
    <row r="148" spans="1:21">
      <c r="A148" s="274"/>
      <c r="B148" s="274"/>
      <c r="C148" s="274"/>
      <c r="D148" s="274"/>
      <c r="F148" s="274"/>
      <c r="G148" s="274"/>
      <c r="H148" s="274"/>
      <c r="I148" s="274"/>
      <c r="J148" s="274"/>
      <c r="K148" s="274"/>
      <c r="M148" s="274"/>
      <c r="N148" s="274"/>
      <c r="O148" s="274"/>
      <c r="P148" s="274"/>
      <c r="Q148" s="274"/>
      <c r="R148" s="274"/>
      <c r="S148" s="274"/>
      <c r="T148" s="274"/>
      <c r="U148" s="274"/>
    </row>
    <row r="149" spans="1:21">
      <c r="A149" s="274"/>
      <c r="B149" s="274"/>
      <c r="C149" s="274"/>
      <c r="D149" s="274"/>
      <c r="F149" s="274"/>
      <c r="G149" s="274"/>
      <c r="H149" s="274"/>
      <c r="I149" s="274"/>
      <c r="J149" s="274"/>
      <c r="K149" s="274"/>
      <c r="M149" s="274"/>
      <c r="N149" s="274"/>
      <c r="O149" s="274"/>
      <c r="P149" s="274"/>
      <c r="Q149" s="274"/>
      <c r="R149" s="274"/>
      <c r="S149" s="274"/>
      <c r="T149" s="274"/>
      <c r="U149" s="274"/>
    </row>
    <row r="150" spans="1:21">
      <c r="A150" s="274"/>
      <c r="B150" s="274"/>
      <c r="C150" s="274"/>
      <c r="D150" s="274"/>
      <c r="F150" s="274"/>
      <c r="G150" s="274"/>
      <c r="H150" s="274"/>
      <c r="I150" s="274"/>
      <c r="J150" s="274"/>
      <c r="K150" s="274"/>
      <c r="M150" s="274"/>
      <c r="N150" s="274"/>
      <c r="O150" s="274"/>
      <c r="P150" s="274"/>
      <c r="Q150" s="274"/>
      <c r="R150" s="274"/>
      <c r="S150" s="274"/>
      <c r="T150" s="274"/>
      <c r="U150" s="274"/>
    </row>
    <row r="151" spans="1:21">
      <c r="A151" s="274"/>
      <c r="B151" s="274"/>
      <c r="C151" s="274"/>
      <c r="D151" s="274"/>
      <c r="F151" s="274"/>
      <c r="G151" s="274"/>
      <c r="H151" s="274"/>
      <c r="I151" s="274"/>
      <c r="J151" s="274"/>
      <c r="K151" s="274"/>
      <c r="M151" s="274"/>
      <c r="N151" s="274"/>
      <c r="O151" s="274"/>
      <c r="P151" s="274"/>
      <c r="Q151" s="274"/>
      <c r="R151" s="274"/>
      <c r="S151" s="274"/>
      <c r="T151" s="274"/>
      <c r="U151" s="274"/>
    </row>
    <row r="152" spans="1:21">
      <c r="A152" s="274"/>
      <c r="B152" s="274"/>
      <c r="C152" s="274"/>
      <c r="D152" s="274"/>
      <c r="F152" s="274"/>
      <c r="G152" s="274"/>
      <c r="H152" s="274"/>
      <c r="I152" s="274"/>
      <c r="J152" s="274"/>
      <c r="K152" s="274"/>
      <c r="M152" s="274"/>
      <c r="N152" s="274"/>
      <c r="O152" s="274"/>
      <c r="P152" s="274"/>
      <c r="Q152" s="274"/>
      <c r="R152" s="274"/>
      <c r="S152" s="274"/>
      <c r="T152" s="274"/>
      <c r="U152" s="274"/>
    </row>
    <row r="153" spans="1:21">
      <c r="A153" s="274"/>
      <c r="B153" s="274"/>
      <c r="C153" s="274"/>
      <c r="D153" s="274"/>
      <c r="F153" s="274"/>
      <c r="G153" s="274"/>
      <c r="H153" s="274"/>
      <c r="I153" s="274"/>
      <c r="J153" s="274"/>
      <c r="K153" s="274"/>
      <c r="M153" s="274"/>
      <c r="N153" s="274"/>
      <c r="O153" s="274"/>
      <c r="P153" s="274"/>
      <c r="Q153" s="274"/>
      <c r="R153" s="274"/>
      <c r="S153" s="274"/>
      <c r="T153" s="274"/>
      <c r="U153" s="274"/>
    </row>
    <row r="154" spans="1:21">
      <c r="A154" s="274"/>
      <c r="B154" s="274"/>
      <c r="C154" s="274"/>
      <c r="D154" s="274"/>
      <c r="F154" s="274"/>
      <c r="G154" s="274"/>
      <c r="H154" s="274"/>
      <c r="I154" s="274"/>
      <c r="J154" s="274"/>
      <c r="K154" s="274"/>
      <c r="M154" s="274"/>
      <c r="N154" s="274"/>
      <c r="O154" s="274"/>
      <c r="P154" s="274"/>
      <c r="Q154" s="274"/>
      <c r="R154" s="274"/>
      <c r="S154" s="274"/>
      <c r="T154" s="274"/>
      <c r="U154" s="274"/>
    </row>
    <row r="155" spans="1:21">
      <c r="A155" s="274"/>
      <c r="B155" s="274"/>
      <c r="C155" s="274"/>
      <c r="D155" s="274"/>
      <c r="F155" s="274"/>
      <c r="G155" s="274"/>
      <c r="H155" s="274"/>
      <c r="I155" s="274"/>
      <c r="J155" s="274"/>
      <c r="K155" s="274"/>
      <c r="M155" s="274"/>
      <c r="N155" s="274"/>
      <c r="O155" s="274"/>
      <c r="P155" s="274"/>
      <c r="Q155" s="274"/>
      <c r="R155" s="274"/>
      <c r="S155" s="274"/>
      <c r="T155" s="274"/>
      <c r="U155" s="274"/>
    </row>
    <row r="156" spans="1:21">
      <c r="A156" s="274"/>
      <c r="B156" s="274"/>
      <c r="C156" s="274"/>
      <c r="D156" s="274"/>
      <c r="F156" s="274"/>
      <c r="G156" s="274"/>
      <c r="H156" s="274"/>
      <c r="I156" s="274"/>
      <c r="J156" s="274"/>
      <c r="K156" s="274"/>
      <c r="M156" s="274"/>
      <c r="N156" s="274"/>
      <c r="O156" s="274"/>
      <c r="P156" s="274"/>
      <c r="Q156" s="274"/>
      <c r="R156" s="274"/>
      <c r="S156" s="274"/>
      <c r="T156" s="274"/>
      <c r="U156" s="274"/>
    </row>
    <row r="157" spans="1:21">
      <c r="A157" s="274"/>
      <c r="B157" s="274"/>
      <c r="C157" s="274"/>
      <c r="D157" s="274"/>
      <c r="F157" s="274"/>
      <c r="G157" s="274"/>
      <c r="H157" s="274"/>
      <c r="I157" s="274"/>
      <c r="J157" s="274"/>
      <c r="K157" s="274"/>
      <c r="M157" s="274"/>
      <c r="N157" s="274"/>
      <c r="O157" s="274"/>
      <c r="P157" s="274"/>
      <c r="Q157" s="274"/>
      <c r="R157" s="274"/>
      <c r="S157" s="274"/>
      <c r="T157" s="274"/>
      <c r="U157" s="274"/>
    </row>
    <row r="158" spans="1:21">
      <c r="A158" s="274"/>
      <c r="B158" s="274"/>
      <c r="C158" s="274"/>
      <c r="D158" s="274"/>
      <c r="F158" s="274"/>
      <c r="G158" s="274"/>
      <c r="H158" s="274"/>
      <c r="I158" s="274"/>
      <c r="J158" s="274"/>
      <c r="K158" s="274"/>
      <c r="M158" s="274"/>
      <c r="N158" s="274"/>
      <c r="O158" s="274"/>
      <c r="P158" s="274"/>
      <c r="Q158" s="274"/>
      <c r="R158" s="274"/>
      <c r="S158" s="274"/>
      <c r="T158" s="274"/>
      <c r="U158" s="274"/>
    </row>
    <row r="159" spans="1:21">
      <c r="A159" s="274"/>
      <c r="B159" s="274"/>
      <c r="C159" s="274"/>
      <c r="D159" s="274"/>
      <c r="F159" s="274"/>
      <c r="G159" s="274"/>
      <c r="H159" s="274"/>
      <c r="I159" s="274"/>
      <c r="J159" s="274"/>
      <c r="K159" s="274"/>
      <c r="M159" s="274"/>
      <c r="N159" s="274"/>
      <c r="O159" s="274"/>
      <c r="P159" s="274"/>
      <c r="Q159" s="274"/>
      <c r="R159" s="274"/>
      <c r="S159" s="274"/>
      <c r="T159" s="274"/>
      <c r="U159" s="274"/>
    </row>
    <row r="160" spans="1:21">
      <c r="A160" s="274"/>
      <c r="B160" s="274"/>
      <c r="C160" s="274"/>
      <c r="D160" s="274"/>
      <c r="F160" s="274"/>
      <c r="G160" s="274"/>
      <c r="H160" s="274"/>
      <c r="I160" s="274"/>
      <c r="J160" s="274"/>
      <c r="K160" s="274"/>
      <c r="M160" s="274"/>
      <c r="N160" s="274"/>
      <c r="O160" s="274"/>
      <c r="P160" s="274"/>
      <c r="Q160" s="274"/>
      <c r="R160" s="274"/>
      <c r="S160" s="274"/>
      <c r="T160" s="274"/>
      <c r="U160" s="274"/>
    </row>
    <row r="161" spans="1:21">
      <c r="A161" s="274"/>
      <c r="B161" s="274"/>
      <c r="C161" s="274"/>
      <c r="D161" s="274"/>
      <c r="F161" s="274"/>
      <c r="G161" s="274"/>
      <c r="H161" s="274"/>
      <c r="I161" s="274"/>
      <c r="J161" s="274"/>
      <c r="K161" s="274"/>
      <c r="M161" s="274"/>
      <c r="N161" s="274"/>
      <c r="O161" s="274"/>
      <c r="P161" s="274"/>
      <c r="Q161" s="274"/>
      <c r="R161" s="274"/>
      <c r="S161" s="274"/>
      <c r="T161" s="274"/>
      <c r="U161" s="274"/>
    </row>
    <row r="162" spans="1:21">
      <c r="A162" s="274"/>
      <c r="B162" s="274"/>
      <c r="C162" s="274"/>
      <c r="D162" s="274"/>
      <c r="F162" s="274"/>
      <c r="G162" s="274"/>
      <c r="H162" s="274"/>
      <c r="I162" s="274"/>
      <c r="J162" s="274"/>
      <c r="K162" s="274"/>
      <c r="M162" s="274"/>
      <c r="N162" s="274"/>
      <c r="O162" s="274"/>
      <c r="P162" s="274"/>
      <c r="Q162" s="274"/>
      <c r="R162" s="274"/>
      <c r="S162" s="274"/>
      <c r="T162" s="274"/>
      <c r="U162" s="274"/>
    </row>
    <row r="163" spans="1:21">
      <c r="A163" s="274"/>
      <c r="B163" s="274"/>
      <c r="C163" s="274"/>
      <c r="D163" s="274"/>
      <c r="F163" s="274"/>
      <c r="G163" s="274"/>
      <c r="H163" s="274"/>
      <c r="I163" s="274"/>
      <c r="J163" s="274"/>
      <c r="K163" s="274"/>
      <c r="M163" s="274"/>
      <c r="N163" s="274"/>
      <c r="O163" s="274"/>
      <c r="P163" s="274"/>
      <c r="Q163" s="274"/>
      <c r="R163" s="274"/>
      <c r="S163" s="274"/>
      <c r="T163" s="274"/>
      <c r="U163" s="274"/>
    </row>
    <row r="164" spans="1:21">
      <c r="A164" s="274"/>
      <c r="B164" s="274"/>
      <c r="C164" s="274"/>
      <c r="D164" s="274"/>
      <c r="F164" s="274"/>
      <c r="G164" s="274"/>
      <c r="H164" s="274"/>
      <c r="I164" s="274"/>
      <c r="J164" s="274"/>
      <c r="K164" s="274"/>
      <c r="M164" s="274"/>
      <c r="N164" s="274"/>
      <c r="O164" s="274"/>
      <c r="P164" s="274"/>
      <c r="Q164" s="274"/>
      <c r="R164" s="274"/>
      <c r="S164" s="274"/>
      <c r="T164" s="274"/>
      <c r="U164" s="274"/>
    </row>
    <row r="165" spans="1:21">
      <c r="A165" s="274"/>
      <c r="B165" s="274"/>
      <c r="C165" s="274"/>
      <c r="D165" s="274"/>
      <c r="F165" s="274"/>
      <c r="G165" s="274"/>
      <c r="H165" s="274"/>
      <c r="I165" s="274"/>
      <c r="J165" s="274"/>
      <c r="K165" s="274"/>
      <c r="M165" s="274"/>
      <c r="N165" s="274"/>
      <c r="O165" s="274"/>
      <c r="P165" s="274"/>
      <c r="Q165" s="274"/>
      <c r="R165" s="274"/>
      <c r="S165" s="274"/>
      <c r="T165" s="274"/>
      <c r="U165" s="274"/>
    </row>
    <row r="166" spans="1:21">
      <c r="A166" s="274"/>
      <c r="B166" s="274"/>
      <c r="C166" s="274"/>
      <c r="D166" s="274"/>
      <c r="F166" s="274"/>
      <c r="G166" s="274"/>
      <c r="H166" s="274"/>
      <c r="I166" s="274"/>
      <c r="J166" s="274"/>
      <c r="K166" s="274"/>
      <c r="M166" s="274"/>
      <c r="N166" s="274"/>
      <c r="O166" s="274"/>
      <c r="P166" s="274"/>
      <c r="Q166" s="274"/>
      <c r="R166" s="274"/>
      <c r="S166" s="274"/>
      <c r="T166" s="274"/>
      <c r="U166" s="274"/>
    </row>
  </sheetData>
  <pageMargins left="0.70866141732283472" right="0.70866141732283472" top="0.74803149606299213" bottom="0.74803149606299213" header="0.31496062992125984" footer="0.31496062992125984"/>
  <pageSetup paperSize="9" scale="46" orientation="landscape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69"/>
  <sheetViews>
    <sheetView workbookViewId="0">
      <selection activeCell="G19" sqref="G19"/>
    </sheetView>
  </sheetViews>
  <sheetFormatPr defaultColWidth="8.85546875" defaultRowHeight="15"/>
  <cols>
    <col min="1" max="1" width="10.140625" bestFit="1" customWidth="1"/>
    <col min="2" max="2" width="13.85546875" bestFit="1" customWidth="1"/>
  </cols>
  <sheetData>
    <row r="1" spans="1:14">
      <c r="A1" t="s">
        <v>395</v>
      </c>
      <c r="B1" t="s">
        <v>396</v>
      </c>
      <c r="C1" t="s">
        <v>397</v>
      </c>
    </row>
    <row r="2" spans="1:14">
      <c r="A2" s="436">
        <f>'Cost of Equity'!A40</f>
        <v>39871</v>
      </c>
      <c r="B2">
        <f>'Cost of Equity'!I40</f>
        <v>-0.26230240111670883</v>
      </c>
      <c r="C2">
        <f>'Cost of Equity'!O40</f>
        <v>-0.20021529417045103</v>
      </c>
      <c r="F2" s="456" t="s">
        <v>346</v>
      </c>
      <c r="G2" s="456"/>
      <c r="H2" s="456"/>
      <c r="I2" s="456"/>
      <c r="J2" s="456"/>
      <c r="K2" s="456"/>
      <c r="L2" s="456"/>
      <c r="M2" s="456"/>
      <c r="N2" s="456"/>
    </row>
    <row r="3" spans="1:14" ht="15.75" thickBot="1">
      <c r="A3" s="436">
        <f>'Cost of Equity'!A41</f>
        <v>39903</v>
      </c>
      <c r="B3" s="435">
        <f>'Cost of Equity'!I41</f>
        <v>0.11932924807946083</v>
      </c>
      <c r="C3" s="456">
        <f>'Cost of Equity'!O41</f>
        <v>5.7613506832275493E-2</v>
      </c>
      <c r="F3" s="456"/>
      <c r="G3" s="456"/>
      <c r="H3" s="456"/>
      <c r="I3" s="456"/>
      <c r="J3" s="456"/>
      <c r="K3" s="456"/>
      <c r="L3" s="456"/>
      <c r="M3" s="456"/>
      <c r="N3" s="456"/>
    </row>
    <row r="4" spans="1:14">
      <c r="A4" s="436">
        <f>'Cost of Equity'!A42</f>
        <v>39933</v>
      </c>
      <c r="B4" s="435">
        <f>'Cost of Equity'!I42</f>
        <v>0.18059434241407943</v>
      </c>
      <c r="C4" s="456">
        <f>'Cost of Equity'!O42</f>
        <v>0.35245220133727401</v>
      </c>
      <c r="F4" s="445" t="s">
        <v>347</v>
      </c>
      <c r="G4" s="445"/>
      <c r="H4" s="456"/>
      <c r="I4" s="456"/>
      <c r="J4" s="456"/>
      <c r="K4" s="456"/>
      <c r="L4" s="456"/>
      <c r="M4" s="456"/>
      <c r="N4" s="456"/>
    </row>
    <row r="5" spans="1:14">
      <c r="A5" s="436">
        <f>'Cost of Equity'!A43</f>
        <v>39962</v>
      </c>
      <c r="B5" s="435">
        <f>'Cost of Equity'!I43</f>
        <v>4.0771176666554824E-2</v>
      </c>
      <c r="C5" s="456">
        <f>'Cost of Equity'!O43</f>
        <v>-4.8982266402976184E-2</v>
      </c>
      <c r="F5" s="442" t="s">
        <v>348</v>
      </c>
      <c r="G5" s="442">
        <v>0.65706093117094799</v>
      </c>
      <c r="H5" s="456"/>
      <c r="I5" s="456"/>
      <c r="J5" s="456"/>
      <c r="K5" s="456"/>
      <c r="L5" s="456"/>
      <c r="M5" s="456"/>
      <c r="N5" s="456"/>
    </row>
    <row r="6" spans="1:14">
      <c r="A6" s="436">
        <f>'Cost of Equity'!A44</f>
        <v>39993</v>
      </c>
      <c r="B6" s="435">
        <f>'Cost of Equity'!I44</f>
        <v>-2.7472191223026195E-2</v>
      </c>
      <c r="C6" s="456">
        <f>'Cost of Equity'!O44</f>
        <v>-2.8116034433968021E-3</v>
      </c>
      <c r="F6" s="442" t="s">
        <v>349</v>
      </c>
      <c r="G6" s="442">
        <v>0.43172906727123322</v>
      </c>
      <c r="H6" s="456"/>
      <c r="I6" s="456"/>
      <c r="J6" s="456"/>
      <c r="K6" s="456"/>
      <c r="L6" s="456"/>
      <c r="M6" s="456"/>
      <c r="N6" s="456"/>
    </row>
    <row r="7" spans="1:14">
      <c r="A7" s="436">
        <f>'Cost of Equity'!A45</f>
        <v>40025</v>
      </c>
      <c r="B7" s="435">
        <f>'Cost of Equity'!I45</f>
        <v>7.3848543636432631E-2</v>
      </c>
      <c r="C7" s="456">
        <f>'Cost of Equity'!O45</f>
        <v>0.23061758860371312</v>
      </c>
      <c r="F7" s="442" t="s">
        <v>350</v>
      </c>
      <c r="G7" s="442">
        <v>0.4231189016238277</v>
      </c>
      <c r="H7" s="456"/>
      <c r="I7" s="456"/>
      <c r="J7" s="456"/>
      <c r="K7" s="456"/>
      <c r="L7" s="456"/>
      <c r="M7" s="456"/>
      <c r="N7" s="456"/>
    </row>
    <row r="8" spans="1:14">
      <c r="A8" s="436">
        <f>'Cost of Equity'!A46</f>
        <v>40056</v>
      </c>
      <c r="B8" s="435">
        <f>'Cost of Equity'!I46</f>
        <v>8.0156926126597555E-2</v>
      </c>
      <c r="C8" s="456">
        <f>'Cost of Equity'!O46</f>
        <v>-2.947711255778504E-2</v>
      </c>
      <c r="F8" s="442" t="s">
        <v>351</v>
      </c>
      <c r="G8" s="442">
        <v>7.5386065310414641E-2</v>
      </c>
      <c r="H8" s="456"/>
      <c r="I8" s="456"/>
      <c r="J8" s="456"/>
      <c r="K8" s="456"/>
      <c r="L8" s="456"/>
      <c r="M8" s="456"/>
      <c r="N8" s="456"/>
    </row>
    <row r="9" spans="1:14" ht="15.75" thickBot="1">
      <c r="A9" s="436">
        <f>'Cost of Equity'!A47</f>
        <v>40086</v>
      </c>
      <c r="B9" s="435">
        <f>'Cost of Equity'!I47</f>
        <v>9.0250987694882184E-2</v>
      </c>
      <c r="C9" s="456">
        <f>'Cost of Equity'!O47</f>
        <v>8.7162429097473779E-2</v>
      </c>
      <c r="F9" s="443" t="s">
        <v>352</v>
      </c>
      <c r="G9" s="443">
        <v>68</v>
      </c>
      <c r="H9" s="456"/>
      <c r="I9" s="456"/>
      <c r="J9" s="456"/>
      <c r="K9" s="456"/>
      <c r="L9" s="456"/>
      <c r="M9" s="456"/>
      <c r="N9" s="456"/>
    </row>
    <row r="10" spans="1:14">
      <c r="A10" s="436">
        <f>'Cost of Equity'!A48</f>
        <v>40116</v>
      </c>
      <c r="B10" s="435">
        <f>'Cost of Equity'!I48</f>
        <v>-8.9077510158436929E-2</v>
      </c>
      <c r="C10" s="456">
        <f>'Cost of Equity'!O48</f>
        <v>-3.9373032498952715E-2</v>
      </c>
      <c r="F10" s="456"/>
      <c r="G10" s="456"/>
      <c r="H10" s="456"/>
      <c r="I10" s="456"/>
      <c r="J10" s="456"/>
      <c r="K10" s="456"/>
      <c r="L10" s="456"/>
      <c r="M10" s="456"/>
      <c r="N10" s="456"/>
    </row>
    <row r="11" spans="1:14" ht="15.75" thickBot="1">
      <c r="A11" s="436">
        <f>'Cost of Equity'!A49</f>
        <v>40147</v>
      </c>
      <c r="B11" s="435">
        <f>'Cost of Equity'!I49</f>
        <v>5.31107012224405E-2</v>
      </c>
      <c r="C11" s="456">
        <f>'Cost of Equity'!O49</f>
        <v>1.9062262978164213E-2</v>
      </c>
      <c r="F11" s="456" t="s">
        <v>353</v>
      </c>
      <c r="G11" s="456"/>
      <c r="H11" s="456"/>
      <c r="I11" s="456"/>
      <c r="J11" s="456"/>
      <c r="K11" s="456"/>
      <c r="L11" s="456"/>
      <c r="M11" s="456"/>
      <c r="N11" s="456"/>
    </row>
    <row r="12" spans="1:14">
      <c r="A12" s="436">
        <f>'Cost of Equity'!A50</f>
        <v>40178</v>
      </c>
      <c r="B12" s="435">
        <f>'Cost of Equity'!I50</f>
        <v>9.192964004899723E-2</v>
      </c>
      <c r="C12" s="456">
        <f>'Cost of Equity'!O50</f>
        <v>9.8923754750970747E-2</v>
      </c>
      <c r="F12" s="444"/>
      <c r="G12" s="444" t="s">
        <v>354</v>
      </c>
      <c r="H12" s="444" t="s">
        <v>355</v>
      </c>
      <c r="I12" s="444" t="s">
        <v>356</v>
      </c>
      <c r="J12" s="444" t="s">
        <v>357</v>
      </c>
      <c r="K12" s="444" t="s">
        <v>358</v>
      </c>
      <c r="L12" s="456"/>
      <c r="M12" s="456"/>
      <c r="N12" s="456"/>
    </row>
    <row r="13" spans="1:14">
      <c r="A13" s="436">
        <f>'Cost of Equity'!A51</f>
        <v>40207</v>
      </c>
      <c r="B13" s="435">
        <f>'Cost of Equity'!I51</f>
        <v>-4.2884783188096215E-2</v>
      </c>
      <c r="C13" s="456">
        <f>'Cost of Equity'!O51</f>
        <v>-0.1079107648966187</v>
      </c>
      <c r="F13" s="442" t="s">
        <v>359</v>
      </c>
      <c r="G13" s="442">
        <v>1</v>
      </c>
      <c r="H13" s="442">
        <v>0.2849587097397171</v>
      </c>
      <c r="I13" s="442">
        <v>0.2849587097397171</v>
      </c>
      <c r="J13" s="442">
        <v>50.141784136443789</v>
      </c>
      <c r="K13" s="442">
        <v>1.1619888909922524E-9</v>
      </c>
      <c r="L13" s="456"/>
      <c r="M13" s="456"/>
      <c r="N13" s="456"/>
    </row>
    <row r="14" spans="1:14">
      <c r="A14" s="436">
        <f>'Cost of Equity'!A52</f>
        <v>40235</v>
      </c>
      <c r="B14" s="435">
        <f>'Cost of Equity'!I52</f>
        <v>3.6905313920108929E-2</v>
      </c>
      <c r="C14" s="456">
        <f>'Cost of Equity'!O52</f>
        <v>-8.6445249544338701E-2</v>
      </c>
      <c r="F14" s="442" t="s">
        <v>360</v>
      </c>
      <c r="G14" s="442">
        <v>66</v>
      </c>
      <c r="H14" s="442">
        <v>0.37508188363708267</v>
      </c>
      <c r="I14" s="442">
        <v>5.6830588429861014E-3</v>
      </c>
      <c r="J14" s="442"/>
      <c r="K14" s="442"/>
      <c r="L14" s="456"/>
      <c r="M14" s="456"/>
      <c r="N14" s="456"/>
    </row>
    <row r="15" spans="1:14" ht="15.75" thickBot="1">
      <c r="A15" s="436">
        <f>'Cost of Equity'!A53</f>
        <v>40268</v>
      </c>
      <c r="B15" s="435">
        <f>'Cost of Equity'!I53</f>
        <v>6.4415505968756781E-2</v>
      </c>
      <c r="C15" s="456">
        <f>'Cost of Equity'!O53</f>
        <v>0.12813772549469382</v>
      </c>
      <c r="F15" s="443" t="s">
        <v>81</v>
      </c>
      <c r="G15" s="443">
        <v>67</v>
      </c>
      <c r="H15" s="443">
        <v>0.66004059337679977</v>
      </c>
      <c r="I15" s="443"/>
      <c r="J15" s="443"/>
      <c r="K15" s="443"/>
      <c r="L15" s="456"/>
      <c r="M15" s="456"/>
      <c r="N15" s="456"/>
    </row>
    <row r="16" spans="1:14" ht="15.75" thickBot="1">
      <c r="A16" s="436">
        <f>'Cost of Equity'!A54</f>
        <v>40298</v>
      </c>
      <c r="B16" s="435">
        <f>'Cost of Equity'!I54</f>
        <v>-4.5255191984708149E-2</v>
      </c>
      <c r="C16" s="456">
        <f>'Cost of Equity'!O54</f>
        <v>0.10751017091928165</v>
      </c>
      <c r="F16" s="456"/>
      <c r="G16" s="456"/>
      <c r="H16" s="456"/>
      <c r="I16" s="456"/>
      <c r="J16" s="456"/>
      <c r="K16" s="456"/>
      <c r="L16" s="456"/>
      <c r="M16" s="456"/>
      <c r="N16" s="456"/>
    </row>
    <row r="17" spans="1:14">
      <c r="A17" s="436">
        <f>'Cost of Equity'!A55</f>
        <v>40329</v>
      </c>
      <c r="B17" s="435">
        <f>'Cost of Equity'!I55</f>
        <v>2.9755833186030169E-2</v>
      </c>
      <c r="C17" s="456">
        <f>'Cost of Equity'!O55</f>
        <v>5.4665296846664109E-2</v>
      </c>
      <c r="F17" s="444"/>
      <c r="G17" s="444" t="s">
        <v>361</v>
      </c>
      <c r="H17" s="444" t="s">
        <v>351</v>
      </c>
      <c r="I17" s="444" t="s">
        <v>362</v>
      </c>
      <c r="J17" s="444" t="s">
        <v>363</v>
      </c>
      <c r="K17" s="444" t="s">
        <v>364</v>
      </c>
      <c r="L17" s="444" t="s">
        <v>365</v>
      </c>
      <c r="M17" s="444" t="s">
        <v>366</v>
      </c>
      <c r="N17" s="444" t="s">
        <v>367</v>
      </c>
    </row>
    <row r="18" spans="1:14">
      <c r="A18" s="436">
        <f>'Cost of Equity'!A56</f>
        <v>40359</v>
      </c>
      <c r="B18" s="435">
        <f>'Cost of Equity'!I56</f>
        <v>-3.7709955017587601E-2</v>
      </c>
      <c r="C18" s="456">
        <f>'Cost of Equity'!O56</f>
        <v>2.209097330847894E-2</v>
      </c>
      <c r="F18" s="442" t="s">
        <v>368</v>
      </c>
      <c r="G18" s="442">
        <v>-5.9581941957058751E-4</v>
      </c>
      <c r="H18" s="442">
        <v>9.3979498552327241E-3</v>
      </c>
      <c r="I18" s="442">
        <v>-6.3398871961296829E-2</v>
      </c>
      <c r="J18" s="442">
        <v>0.9496405077437744</v>
      </c>
      <c r="K18" s="442">
        <v>-1.9359431711626275E-2</v>
      </c>
      <c r="L18" s="442">
        <v>1.81677928724851E-2</v>
      </c>
      <c r="M18" s="442">
        <v>-1.9359431711626275E-2</v>
      </c>
      <c r="N18" s="442">
        <v>1.81677928724851E-2</v>
      </c>
    </row>
    <row r="19" spans="1:14" ht="15.75" thickBot="1">
      <c r="A19" s="436">
        <f>'Cost of Equity'!A57</f>
        <v>40389</v>
      </c>
      <c r="B19" s="435">
        <f>'Cost of Equity'!I57</f>
        <v>9.0006769907380491E-2</v>
      </c>
      <c r="C19" s="456">
        <f>'Cost of Equity'!O57</f>
        <v>-1.3186206315559827E-2</v>
      </c>
      <c r="F19" s="443" t="s">
        <v>369</v>
      </c>
      <c r="G19" s="443">
        <v>0.98453528897586684</v>
      </c>
      <c r="H19" s="443">
        <v>0.1390373225171645</v>
      </c>
      <c r="I19" s="443">
        <v>7.0810863669668525</v>
      </c>
      <c r="J19" s="443">
        <v>1.1619888909922485E-9</v>
      </c>
      <c r="K19" s="443">
        <v>0.70693831793169903</v>
      </c>
      <c r="L19" s="443">
        <v>1.2621322600200346</v>
      </c>
      <c r="M19" s="443">
        <v>0.70693831793169903</v>
      </c>
      <c r="N19" s="443">
        <v>1.2621322600200346</v>
      </c>
    </row>
    <row r="20" spans="1:14">
      <c r="A20" s="436">
        <f>'Cost of Equity'!A58</f>
        <v>40421</v>
      </c>
      <c r="B20" s="435">
        <f>'Cost of Equity'!I58</f>
        <v>-1.2385438013695058E-2</v>
      </c>
      <c r="C20" s="456">
        <f>'Cost of Equity'!O58</f>
        <v>-7.9417894885100065E-2</v>
      </c>
    </row>
    <row r="21" spans="1:14">
      <c r="A21" s="436">
        <f>'Cost of Equity'!A59</f>
        <v>40451</v>
      </c>
      <c r="B21" s="435">
        <f>'Cost of Equity'!I59</f>
        <v>2.8220625252513353E-2</v>
      </c>
      <c r="C21" s="456">
        <f>'Cost of Equity'!O59</f>
        <v>0.19513278853013624</v>
      </c>
    </row>
    <row r="22" spans="1:14">
      <c r="A22" s="436">
        <f>'Cost of Equity'!A60</f>
        <v>40480</v>
      </c>
      <c r="B22" s="435">
        <f>'Cost of Equity'!I60</f>
        <v>7.6210499520714528E-2</v>
      </c>
      <c r="C22" s="456">
        <f>'Cost of Equity'!O60</f>
        <v>2.0035981027659307E-2</v>
      </c>
    </row>
    <row r="23" spans="1:14">
      <c r="A23" s="436">
        <f>'Cost of Equity'!A61</f>
        <v>40512</v>
      </c>
      <c r="B23" s="435">
        <f>'Cost of Equity'!I61</f>
        <v>3.7718481345441021E-2</v>
      </c>
      <c r="C23" s="456">
        <f>'Cost of Equity'!O61</f>
        <v>5.0591911188108671E-2</v>
      </c>
    </row>
    <row r="24" spans="1:14">
      <c r="A24" s="436">
        <f>'Cost of Equity'!A62</f>
        <v>40542</v>
      </c>
      <c r="B24" s="435">
        <f>'Cost of Equity'!I62</f>
        <v>4.191767668993418E-2</v>
      </c>
      <c r="C24" s="456">
        <f>'Cost of Equity'!O62</f>
        <v>1.6997832020567431E-2</v>
      </c>
    </row>
    <row r="25" spans="1:14">
      <c r="A25" s="436">
        <f>'Cost of Equity'!A63</f>
        <v>40574</v>
      </c>
      <c r="B25" s="435">
        <f>'Cost of Equity'!I63</f>
        <v>6.109740027209546E-3</v>
      </c>
      <c r="C25" s="456">
        <f>'Cost of Equity'!O63</f>
        <v>5.1567756103216199E-2</v>
      </c>
    </row>
    <row r="26" spans="1:14">
      <c r="A26" s="436">
        <f>'Cost of Equity'!A64</f>
        <v>40602</v>
      </c>
      <c r="B26" s="435">
        <f>'Cost of Equity'!I64</f>
        <v>-5.906995464956607E-3</v>
      </c>
      <c r="C26" s="456">
        <f>'Cost of Equity'!O64</f>
        <v>-4.5479663071140285E-2</v>
      </c>
    </row>
    <row r="27" spans="1:14">
      <c r="A27" s="436">
        <f>'Cost of Equity'!A65</f>
        <v>40633</v>
      </c>
      <c r="B27" s="435">
        <f>'Cost of Equity'!I65</f>
        <v>3.6587829621655139E-2</v>
      </c>
      <c r="C27" s="456">
        <f>'Cost of Equity'!O65</f>
        <v>-2.3887048202827145E-2</v>
      </c>
    </row>
    <row r="28" spans="1:14">
      <c r="A28" s="436">
        <f>'Cost of Equity'!A66</f>
        <v>40662</v>
      </c>
      <c r="B28" s="435">
        <f>'Cost of Equity'!I66</f>
        <v>1.7662856365521975E-2</v>
      </c>
      <c r="C28" s="456">
        <f>'Cost of Equity'!O66</f>
        <v>4.5772409247474485E-2</v>
      </c>
    </row>
    <row r="29" spans="1:14">
      <c r="A29" s="436">
        <f>'Cost of Equity'!A67</f>
        <v>40694</v>
      </c>
      <c r="B29" s="435">
        <f>'Cost of Equity'!I67</f>
        <v>-6.7814977665773338E-3</v>
      </c>
      <c r="C29" s="456">
        <f>'Cost of Equity'!O67</f>
        <v>-6.1030043045584292E-2</v>
      </c>
    </row>
    <row r="30" spans="1:14">
      <c r="A30" s="436">
        <f>'Cost of Equity'!A68</f>
        <v>40724</v>
      </c>
      <c r="B30" s="435">
        <f>'Cost of Equity'!I68</f>
        <v>3.7308061621481516E-2</v>
      </c>
      <c r="C30" s="456">
        <f>'Cost of Equity'!O68</f>
        <v>5.5257927562105451E-2</v>
      </c>
    </row>
    <row r="31" spans="1:14">
      <c r="A31" s="436">
        <f>'Cost of Equity'!A69</f>
        <v>40753</v>
      </c>
      <c r="B31" s="435">
        <f>'Cost of Equity'!I69</f>
        <v>-0.10764252622975069</v>
      </c>
      <c r="C31" s="456">
        <f>'Cost of Equity'!O69</f>
        <v>-2.4282145598313855E-2</v>
      </c>
    </row>
    <row r="32" spans="1:14">
      <c r="A32" s="436">
        <f>'Cost of Equity'!A70</f>
        <v>40786</v>
      </c>
      <c r="B32" s="435">
        <f>'Cost of Equity'!I70</f>
        <v>-0.1193717901832561</v>
      </c>
      <c r="C32" s="456">
        <f>'Cost of Equity'!O70</f>
        <v>-0.29637262286957938</v>
      </c>
    </row>
    <row r="33" spans="1:3">
      <c r="A33" s="436">
        <f>'Cost of Equity'!A71</f>
        <v>40816</v>
      </c>
      <c r="B33" s="435">
        <f>'Cost of Equity'!I71</f>
        <v>-0.12714417548482571</v>
      </c>
      <c r="C33" s="456">
        <f>'Cost of Equity'!O71</f>
        <v>-0.11354549595177146</v>
      </c>
    </row>
    <row r="34" spans="1:3">
      <c r="A34" s="436">
        <f>'Cost of Equity'!A72</f>
        <v>40847</v>
      </c>
      <c r="B34" s="435">
        <f>'Cost of Equity'!I72</f>
        <v>0.12897549144580359</v>
      </c>
      <c r="C34" s="456">
        <f>'Cost of Equity'!O72</f>
        <v>9.5399386892046134E-2</v>
      </c>
    </row>
    <row r="35" spans="1:3">
      <c r="A35" s="436">
        <f>'Cost of Equity'!A73</f>
        <v>40877</v>
      </c>
      <c r="B35" s="435">
        <f>'Cost of Equity'!I73</f>
        <v>1.4660432128842812E-2</v>
      </c>
      <c r="C35" s="456">
        <f>'Cost of Equity'!O73</f>
        <v>-9.6194270907210222E-2</v>
      </c>
    </row>
    <row r="36" spans="1:3">
      <c r="A36" s="436">
        <f>'Cost of Equity'!A74</f>
        <v>40907</v>
      </c>
      <c r="B36" s="435">
        <f>'Cost of Equity'!I74</f>
        <v>2.6464672792487126E-2</v>
      </c>
      <c r="C36" s="456">
        <f>'Cost of Equity'!O74</f>
        <v>9.0811691866881008E-3</v>
      </c>
    </row>
    <row r="37" spans="1:3">
      <c r="A37" s="436">
        <f>'Cost of Equity'!A75</f>
        <v>40939</v>
      </c>
      <c r="B37" s="435">
        <f>'Cost of Equity'!I75</f>
        <v>0.10111969421754195</v>
      </c>
      <c r="C37" s="456">
        <f>'Cost of Equity'!O75</f>
        <v>0.21938119268110565</v>
      </c>
    </row>
    <row r="38" spans="1:3">
      <c r="A38" s="436">
        <f>'Cost of Equity'!A76</f>
        <v>40968</v>
      </c>
      <c r="B38" s="435">
        <f>'Cost of Equity'!I76</f>
        <v>2.8634669317603209E-2</v>
      </c>
      <c r="C38" s="456">
        <f>'Cost of Equity'!O76</f>
        <v>7.1815963218912565E-2</v>
      </c>
    </row>
    <row r="39" spans="1:3">
      <c r="A39" s="436">
        <f>'Cost of Equity'!A77</f>
        <v>40998</v>
      </c>
      <c r="B39" s="435">
        <f>'Cost of Equity'!I77</f>
        <v>3.2027645227529433E-2</v>
      </c>
      <c r="C39" s="456">
        <f>'Cost of Equity'!O77</f>
        <v>-4.1836655172068082E-3</v>
      </c>
    </row>
    <row r="40" spans="1:3">
      <c r="A40" s="436">
        <f>'Cost of Equity'!A78</f>
        <v>41029</v>
      </c>
      <c r="B40" s="435">
        <f>'Cost of Equity'!I78</f>
        <v>-3.6447773864440111E-4</v>
      </c>
      <c r="C40" s="456">
        <f>'Cost of Equity'!O78</f>
        <v>-7.9359633098644189E-2</v>
      </c>
    </row>
    <row r="41" spans="1:3">
      <c r="A41" s="436">
        <f>'Cost of Equity'!A79</f>
        <v>41060</v>
      </c>
      <c r="B41" s="435">
        <f>'Cost of Equity'!I79</f>
        <v>-0.11055337625599485</v>
      </c>
      <c r="C41" s="456">
        <f>'Cost of Equity'!O79</f>
        <v>-0.10968614629153206</v>
      </c>
    </row>
    <row r="42" spans="1:3">
      <c r="A42" s="436">
        <f>'Cost of Equity'!A80</f>
        <v>41089</v>
      </c>
      <c r="B42" s="435">
        <f>'Cost of Equity'!I80</f>
        <v>9.1237508830096084E-2</v>
      </c>
      <c r="C42" s="456">
        <f>'Cost of Equity'!O80</f>
        <v>-5.7415582293420253E-2</v>
      </c>
    </row>
    <row r="43" spans="1:3">
      <c r="A43" s="436">
        <f>'Cost of Equity'!A81</f>
        <v>41121</v>
      </c>
      <c r="B43" s="435">
        <f>'Cost of Equity'!I81</f>
        <v>2.7180871430492761E-3</v>
      </c>
      <c r="C43" s="456">
        <f>'Cost of Equity'!O81</f>
        <v>0.1412168228919701</v>
      </c>
    </row>
    <row r="44" spans="1:3">
      <c r="A44" s="436">
        <f>'Cost of Equity'!A82</f>
        <v>41152</v>
      </c>
      <c r="B44" s="435">
        <f>'Cost of Equity'!I82</f>
        <v>2.0686251473629989E-2</v>
      </c>
      <c r="C44" s="456">
        <f>'Cost of Equity'!O82</f>
        <v>-4.3012116385241009E-2</v>
      </c>
    </row>
    <row r="45" spans="1:3">
      <c r="A45" s="436">
        <f>'Cost of Equity'!A83</f>
        <v>41180</v>
      </c>
      <c r="B45" s="435">
        <f>'Cost of Equity'!I83</f>
        <v>2.2756448179806991E-2</v>
      </c>
      <c r="C45" s="456">
        <f>'Cost of Equity'!O83</f>
        <v>-3.4930364851988464E-2</v>
      </c>
    </row>
    <row r="46" spans="1:3">
      <c r="A46" s="436">
        <f>'Cost of Equity'!A84</f>
        <v>41213</v>
      </c>
      <c r="B46" s="435">
        <f>'Cost of Equity'!I84</f>
        <v>4.1627947884372275E-2</v>
      </c>
      <c r="C46" s="456">
        <f>'Cost of Equity'!O84</f>
        <v>-4.4618139392072265E-2</v>
      </c>
    </row>
    <row r="47" spans="1:3">
      <c r="A47" s="436">
        <f>'Cost of Equity'!A85</f>
        <v>41243</v>
      </c>
      <c r="B47" s="435">
        <f>'Cost of Equity'!I85</f>
        <v>-9.9235817793200294E-4</v>
      </c>
      <c r="C47" s="456">
        <f>'Cost of Equity'!O85</f>
        <v>5.2746563498554062E-2</v>
      </c>
    </row>
    <row r="48" spans="1:3">
      <c r="A48" s="436">
        <f>'Cost of Equity'!A86</f>
        <v>41271</v>
      </c>
      <c r="B48" s="435">
        <f>'Cost of Equity'!I86</f>
        <v>4.4818824384294999E-2</v>
      </c>
      <c r="C48" s="456">
        <f>'Cost of Equity'!O86</f>
        <v>8.4186938867297986E-2</v>
      </c>
    </row>
    <row r="49" spans="1:3">
      <c r="A49" s="436">
        <f>'Cost of Equity'!A87</f>
        <v>41305</v>
      </c>
      <c r="B49" s="435">
        <f>'Cost of Equity'!I87</f>
        <v>4.8702823965801056E-2</v>
      </c>
      <c r="C49" s="456">
        <f>'Cost of Equity'!O87</f>
        <v>3.6842261234666246E-2</v>
      </c>
    </row>
    <row r="50" spans="1:3">
      <c r="A50" s="436">
        <f>'Cost of Equity'!A88</f>
        <v>41333</v>
      </c>
      <c r="B50" s="435">
        <f>'Cost of Equity'!I88</f>
        <v>3.8715876060754793E-2</v>
      </c>
      <c r="C50" s="456">
        <f>'Cost of Equity'!O88</f>
        <v>6.316219677796632E-2</v>
      </c>
    </row>
    <row r="51" spans="1:3">
      <c r="A51" s="436">
        <f>'Cost of Equity'!A89</f>
        <v>41361</v>
      </c>
      <c r="B51" s="435">
        <f>'Cost of Equity'!I89</f>
        <v>1.9326409255163875E-2</v>
      </c>
      <c r="C51" s="456">
        <f>'Cost of Equity'!O89</f>
        <v>-7.3441982074139212E-2</v>
      </c>
    </row>
    <row r="52" spans="1:3">
      <c r="A52" s="436">
        <f>'Cost of Equity'!A90</f>
        <v>41394</v>
      </c>
      <c r="B52" s="435">
        <f>'Cost of Equity'!I90</f>
        <v>-1.1107117054501353E-3</v>
      </c>
      <c r="C52" s="456">
        <f>'Cost of Equity'!O90</f>
        <v>-1.0282422809749581E-2</v>
      </c>
    </row>
    <row r="53" spans="1:3">
      <c r="A53" s="436">
        <f>'Cost of Equity'!A91</f>
        <v>41425</v>
      </c>
      <c r="B53" s="435">
        <f>'Cost of Equity'!I91</f>
        <v>3.2137325733552304E-2</v>
      </c>
      <c r="C53" s="456">
        <f>'Cost of Equity'!O91</f>
        <v>0.1620261354774771</v>
      </c>
    </row>
    <row r="54" spans="1:3">
      <c r="A54" s="436">
        <f>'Cost of Equity'!A92</f>
        <v>41453</v>
      </c>
      <c r="B54" s="435">
        <f>'Cost of Equity'!I92</f>
        <v>-1.0516787128267754E-2</v>
      </c>
      <c r="C54" s="456">
        <f>'Cost of Equity'!O92</f>
        <v>-6.1123152949837389E-2</v>
      </c>
    </row>
    <row r="55" spans="1:3">
      <c r="A55" s="436">
        <f>'Cost of Equity'!A93</f>
        <v>41486</v>
      </c>
      <c r="B55" s="435">
        <f>'Cost of Equity'!I93</f>
        <v>5.3951972695636057E-2</v>
      </c>
      <c r="C55" s="456">
        <f>'Cost of Equity'!O93</f>
        <v>0.1162358833631615</v>
      </c>
    </row>
    <row r="56" spans="1:3">
      <c r="A56" s="436">
        <f>'Cost of Equity'!A94</f>
        <v>41516</v>
      </c>
      <c r="B56" s="435">
        <f>'Cost of Equity'!I94</f>
        <v>4.2669776331156354E-3</v>
      </c>
      <c r="C56" s="456">
        <f>'Cost of Equity'!O94</f>
        <v>-5.8614908751481575E-3</v>
      </c>
    </row>
    <row r="57" spans="1:3">
      <c r="A57" s="436">
        <f>'Cost of Equity'!A95</f>
        <v>41547</v>
      </c>
      <c r="B57" s="435">
        <f>'Cost of Equity'!I95</f>
        <v>3.596782037062856E-2</v>
      </c>
      <c r="C57" s="456">
        <f>'Cost of Equity'!O95</f>
        <v>0.1040656572605477</v>
      </c>
    </row>
    <row r="58" spans="1:3">
      <c r="A58" s="436">
        <f>'Cost of Equity'!A96</f>
        <v>41578</v>
      </c>
      <c r="B58" s="435">
        <f>'Cost of Equity'!I96</f>
        <v>5.2230119281132387E-2</v>
      </c>
      <c r="C58" s="456">
        <f>'Cost of Equity'!O96</f>
        <v>4.7681407748156407E-2</v>
      </c>
    </row>
    <row r="59" spans="1:3">
      <c r="A59" s="436">
        <f>'Cost of Equity'!A97</f>
        <v>41607</v>
      </c>
      <c r="B59" s="435">
        <f>'Cost of Equity'!I97</f>
        <v>2.1216824194203256E-2</v>
      </c>
      <c r="C59" s="456">
        <f>'Cost of Equity'!O97</f>
        <v>9.1227267687723733E-3</v>
      </c>
    </row>
    <row r="60" spans="1:3">
      <c r="A60" s="436">
        <f>'Cost of Equity'!A98</f>
        <v>41638</v>
      </c>
      <c r="B60" s="435">
        <f>'Cost of Equity'!I98</f>
        <v>1.4496386070982265E-2</v>
      </c>
      <c r="C60" s="456">
        <f>'Cost of Equity'!O98</f>
        <v>3.0572299533083647E-2</v>
      </c>
    </row>
    <row r="61" spans="1:3">
      <c r="A61" s="436">
        <f>'Cost of Equity'!A99</f>
        <v>41670</v>
      </c>
      <c r="B61" s="435">
        <f>'Cost of Equity'!I99</f>
        <v>-2.2588213671424107E-2</v>
      </c>
      <c r="C61" s="456">
        <f>'Cost of Equity'!O99</f>
        <v>-1.2417199630792349E-2</v>
      </c>
    </row>
    <row r="62" spans="1:3">
      <c r="A62" s="436">
        <f>'Cost of Equity'!A100</f>
        <v>41698</v>
      </c>
      <c r="B62" s="435">
        <f>'Cost of Equity'!I100</f>
        <v>4.1350013700070298E-2</v>
      </c>
      <c r="C62" s="456">
        <f>'Cost of Equity'!O100</f>
        <v>8.3094886212099095E-2</v>
      </c>
    </row>
    <row r="63" spans="1:3">
      <c r="A63" s="436">
        <f>'Cost of Equity'!A101</f>
        <v>41729</v>
      </c>
      <c r="B63" s="435">
        <f>'Cost of Equity'!I101</f>
        <v>-2.5888897392058026E-2</v>
      </c>
      <c r="C63" s="456">
        <f>'Cost of Equity'!O101</f>
        <v>1.5622901223528482E-2</v>
      </c>
    </row>
    <row r="64" spans="1:3">
      <c r="A64" s="436">
        <f>'Cost of Equity'!A102</f>
        <v>41759</v>
      </c>
      <c r="B64" s="435">
        <f>'Cost of Equity'!I102</f>
        <v>-2.3442083314561716E-2</v>
      </c>
      <c r="C64" s="456">
        <f>'Cost of Equity'!O102</f>
        <v>-2.7592124595714803E-2</v>
      </c>
    </row>
    <row r="65" spans="1:3">
      <c r="A65" s="436">
        <f>'Cost of Equity'!A103</f>
        <v>41789</v>
      </c>
      <c r="B65" s="435">
        <f>'Cost of Equity'!I103</f>
        <v>5.2540146068330656E-2</v>
      </c>
      <c r="C65" s="456">
        <f>'Cost of Equity'!O103</f>
        <v>4.3445690850962976E-2</v>
      </c>
    </row>
    <row r="66" spans="1:3">
      <c r="A66" s="436">
        <f>'Cost of Equity'!A104</f>
        <v>41820</v>
      </c>
      <c r="B66" s="435">
        <f>'Cost of Equity'!I104</f>
        <v>-8.1274807984067377E-3</v>
      </c>
      <c r="C66" s="456">
        <f>'Cost of Equity'!O104</f>
        <v>-1.8927493137973331E-2</v>
      </c>
    </row>
    <row r="67" spans="1:3">
      <c r="A67" s="436">
        <f>'Cost of Equity'!A105</f>
        <v>41851</v>
      </c>
      <c r="B67" s="435">
        <f>'Cost of Equity'!I105</f>
        <v>-6.298657832327588E-2</v>
      </c>
      <c r="C67" s="456">
        <f>'Cost of Equity'!O105</f>
        <v>-0.10027579892363941</v>
      </c>
    </row>
    <row r="68" spans="1:3">
      <c r="A68" s="436">
        <f>'Cost of Equity'!A106</f>
        <v>41880</v>
      </c>
      <c r="B68" s="435">
        <f>'Cost of Equity'!I106</f>
        <v>1.8385930461956822E-2</v>
      </c>
      <c r="C68" s="456">
        <f>'Cost of Equity'!O106</f>
        <v>5.7008541652707693E-3</v>
      </c>
    </row>
    <row r="69" spans="1:3">
      <c r="A69" s="436">
        <f>'Cost of Equity'!A107</f>
        <v>41912</v>
      </c>
      <c r="B69" s="435">
        <f>'Cost of Equity'!I107</f>
        <v>-5.7315171313751219E-3</v>
      </c>
      <c r="C69" s="456">
        <f>'Cost of Equity'!O107</f>
        <v>-2.4660069960652297E-2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theme="0" tint="-0.249977111117893"/>
    <pageSetUpPr fitToPage="1"/>
  </sheetPr>
  <dimension ref="A1:U63"/>
  <sheetViews>
    <sheetView showGridLines="0" zoomScale="80" zoomScaleNormal="80" zoomScalePageLayoutView="80" workbookViewId="0">
      <selection activeCell="D8" sqref="D8"/>
    </sheetView>
  </sheetViews>
  <sheetFormatPr defaultColWidth="9.140625" defaultRowHeight="14.25"/>
  <cols>
    <col min="1" max="1" width="29.7109375" style="271" customWidth="1"/>
    <col min="2" max="2" width="13.42578125" style="271" customWidth="1"/>
    <col min="3" max="3" width="14.28515625" style="271" customWidth="1"/>
    <col min="4" max="4" width="17.42578125" style="271" bestFit="1" customWidth="1"/>
    <col min="5" max="5" width="2.7109375" style="274" customWidth="1"/>
    <col min="6" max="6" width="31.28515625" style="271" bestFit="1" customWidth="1"/>
    <col min="7" max="7" width="14.42578125" style="271" customWidth="1"/>
    <col min="8" max="11" width="12.85546875" style="271" bestFit="1" customWidth="1"/>
    <col min="12" max="12" width="2.7109375" style="274" customWidth="1"/>
    <col min="13" max="13" width="31.85546875" style="271" customWidth="1"/>
    <col min="14" max="14" width="18" style="271" customWidth="1"/>
    <col min="15" max="15" width="16.42578125" style="271" customWidth="1"/>
    <col min="16" max="16" width="20.140625" style="271" customWidth="1"/>
    <col min="17" max="17" width="14.28515625" style="271" bestFit="1" customWidth="1"/>
    <col min="18" max="18" width="2.7109375" style="271" customWidth="1"/>
    <col min="19" max="16384" width="9.140625" style="271"/>
  </cols>
  <sheetData>
    <row r="1" spans="1:18" ht="15">
      <c r="A1" s="312" t="s">
        <v>219</v>
      </c>
      <c r="B1" s="313"/>
      <c r="C1" s="313"/>
      <c r="D1" s="313"/>
      <c r="E1" s="270"/>
      <c r="F1" s="312" t="s">
        <v>220</v>
      </c>
      <c r="G1" s="313"/>
      <c r="H1" s="313"/>
      <c r="I1" s="313"/>
      <c r="J1" s="313"/>
      <c r="K1" s="313"/>
      <c r="L1" s="270"/>
      <c r="M1" s="312" t="s">
        <v>221</v>
      </c>
      <c r="N1" s="313"/>
      <c r="O1" s="313"/>
      <c r="P1" s="313"/>
      <c r="Q1" s="313"/>
      <c r="R1" s="270"/>
    </row>
    <row r="2" spans="1:18" ht="15">
      <c r="A2" s="272" t="s">
        <v>222</v>
      </c>
      <c r="B2" s="272"/>
      <c r="C2" s="272"/>
      <c r="D2" s="273" t="s">
        <v>46</v>
      </c>
      <c r="E2" s="270"/>
      <c r="F2" s="274"/>
      <c r="G2" s="273">
        <v>2010</v>
      </c>
      <c r="H2" s="273">
        <v>2011</v>
      </c>
      <c r="I2" s="273">
        <v>2012</v>
      </c>
      <c r="J2" s="273">
        <v>2013</v>
      </c>
      <c r="K2" s="273" t="s">
        <v>179</v>
      </c>
      <c r="L2" s="270"/>
      <c r="N2" s="273">
        <v>2010</v>
      </c>
      <c r="O2" s="273">
        <v>2011</v>
      </c>
      <c r="P2" s="273">
        <v>2012</v>
      </c>
      <c r="Q2" s="273">
        <v>2013</v>
      </c>
      <c r="R2" s="270"/>
    </row>
    <row r="3" spans="1:18" ht="15">
      <c r="A3" s="274" t="s">
        <v>204</v>
      </c>
      <c r="B3" s="274"/>
      <c r="C3" s="274"/>
      <c r="D3" s="275" t="s">
        <v>288</v>
      </c>
      <c r="E3" s="270"/>
      <c r="F3" s="272" t="s">
        <v>224</v>
      </c>
      <c r="G3" s="276">
        <v>7772</v>
      </c>
      <c r="H3" s="276">
        <v>11760</v>
      </c>
      <c r="I3" s="276">
        <v>13267</v>
      </c>
      <c r="J3" s="276">
        <v>15948.9</v>
      </c>
      <c r="K3" s="276"/>
      <c r="L3" s="270"/>
      <c r="M3" s="274" t="s">
        <v>155</v>
      </c>
      <c r="N3" s="302">
        <v>470.6</v>
      </c>
      <c r="O3" s="302">
        <v>484.5</v>
      </c>
      <c r="P3" s="302">
        <v>545.4</v>
      </c>
      <c r="Q3" s="302">
        <v>610.6</v>
      </c>
      <c r="R3" s="270"/>
    </row>
    <row r="4" spans="1:18">
      <c r="A4" s="274" t="s">
        <v>225</v>
      </c>
      <c r="B4" s="274"/>
      <c r="C4" s="274"/>
      <c r="D4" s="275" t="s">
        <v>289</v>
      </c>
      <c r="E4" s="270"/>
      <c r="F4" s="274" t="s">
        <v>177</v>
      </c>
      <c r="G4" s="277">
        <v>6352</v>
      </c>
      <c r="H4" s="277">
        <v>9723</v>
      </c>
      <c r="I4" s="277">
        <v>10946</v>
      </c>
      <c r="J4" s="277">
        <v>10596</v>
      </c>
      <c r="K4" s="277"/>
      <c r="L4" s="270"/>
      <c r="M4" s="279" t="s">
        <v>227</v>
      </c>
      <c r="N4" s="292">
        <f>N3/G3</f>
        <v>6.0550694801852809E-2</v>
      </c>
      <c r="O4" s="292">
        <f t="shared" ref="O4:Q4" si="0">O3/H3</f>
        <v>4.1198979591836736E-2</v>
      </c>
      <c r="P4" s="292">
        <f t="shared" si="0"/>
        <v>4.1109519861310014E-2</v>
      </c>
      <c r="Q4" s="292">
        <f t="shared" si="0"/>
        <v>3.8284771990544808E-2</v>
      </c>
      <c r="R4" s="270"/>
    </row>
    <row r="5" spans="1:18" ht="15">
      <c r="A5" s="274" t="s">
        <v>228</v>
      </c>
      <c r="B5" s="274"/>
      <c r="C5" s="274"/>
      <c r="D5" s="281">
        <v>41639</v>
      </c>
      <c r="E5" s="270"/>
      <c r="F5" s="272" t="s">
        <v>63</v>
      </c>
      <c r="G5" s="276">
        <f>G3-G4</f>
        <v>1420</v>
      </c>
      <c r="H5" s="276">
        <f t="shared" ref="H5:J5" si="1">H3-H4</f>
        <v>2037</v>
      </c>
      <c r="I5" s="276">
        <f t="shared" si="1"/>
        <v>2321</v>
      </c>
      <c r="J5" s="276">
        <f t="shared" si="1"/>
        <v>5352.9</v>
      </c>
      <c r="K5" s="276"/>
      <c r="L5" s="270"/>
      <c r="M5" s="274" t="s">
        <v>150</v>
      </c>
      <c r="N5" s="302">
        <v>667.4</v>
      </c>
      <c r="O5" s="302">
        <v>1184.4000000000001</v>
      </c>
      <c r="P5" s="302">
        <v>1403.3</v>
      </c>
      <c r="Q5" s="302">
        <v>1410.5</v>
      </c>
      <c r="R5" s="270"/>
    </row>
    <row r="6" spans="1:18">
      <c r="A6" s="274" t="s">
        <v>229</v>
      </c>
      <c r="B6" s="274"/>
      <c r="C6" s="274"/>
      <c r="D6" s="275"/>
      <c r="E6" s="270"/>
      <c r="F6" s="274" t="s">
        <v>231</v>
      </c>
      <c r="G6" s="277">
        <v>410</v>
      </c>
      <c r="H6" s="277">
        <v>423</v>
      </c>
      <c r="I6" s="277">
        <v>460</v>
      </c>
      <c r="J6" s="277">
        <v>431</v>
      </c>
      <c r="K6" s="277"/>
      <c r="L6" s="270"/>
      <c r="M6" s="279" t="s">
        <v>227</v>
      </c>
      <c r="N6" s="292">
        <f>N5/G3</f>
        <v>8.5872362326299537E-2</v>
      </c>
      <c r="O6" s="292">
        <f t="shared" ref="O6:Q6" si="2">O5/H3</f>
        <v>0.10071428571428573</v>
      </c>
      <c r="P6" s="292">
        <f t="shared" si="2"/>
        <v>0.10577372427828446</v>
      </c>
      <c r="Q6" s="292">
        <f t="shared" si="2"/>
        <v>8.8438701101643369E-2</v>
      </c>
      <c r="R6" s="270"/>
    </row>
    <row r="7" spans="1:18">
      <c r="A7" s="274" t="s">
        <v>232</v>
      </c>
      <c r="B7" s="274"/>
      <c r="C7" s="274"/>
      <c r="D7" s="275"/>
      <c r="E7" s="270"/>
      <c r="F7" s="274" t="s">
        <v>233</v>
      </c>
      <c r="G7" s="277">
        <f>180+246+95</f>
        <v>521</v>
      </c>
      <c r="H7" s="277">
        <f>207+249+93</f>
        <v>549</v>
      </c>
      <c r="I7" s="277">
        <f>217+288+115</f>
        <v>620</v>
      </c>
      <c r="J7" s="277">
        <f>431+189</f>
        <v>620</v>
      </c>
      <c r="K7" s="277"/>
      <c r="L7" s="270"/>
      <c r="M7" s="274"/>
      <c r="N7" s="274"/>
      <c r="O7" s="274"/>
      <c r="P7" s="274"/>
      <c r="Q7" s="274"/>
      <c r="R7" s="270"/>
    </row>
    <row r="8" spans="1:18" ht="15">
      <c r="A8" s="274" t="s">
        <v>234</v>
      </c>
      <c r="B8" s="274"/>
      <c r="C8" s="274"/>
      <c r="D8" s="394">
        <f>'Regression Paccar'!F19</f>
        <v>1.5427995893850872</v>
      </c>
      <c r="E8" s="270"/>
      <c r="F8" s="272" t="s">
        <v>195</v>
      </c>
      <c r="G8" s="276">
        <f>G5-G6-G7</f>
        <v>489</v>
      </c>
      <c r="H8" s="276">
        <f t="shared" ref="H8:I8" si="3">H5-H6-H7</f>
        <v>1065</v>
      </c>
      <c r="I8" s="276">
        <f t="shared" si="3"/>
        <v>1241</v>
      </c>
      <c r="J8" s="276">
        <f>J5-J6-J7</f>
        <v>4301.8999999999996</v>
      </c>
      <c r="K8" s="276"/>
      <c r="L8" s="270"/>
      <c r="M8" s="270"/>
      <c r="N8" s="270"/>
      <c r="O8" s="270"/>
      <c r="P8" s="270"/>
      <c r="Q8" s="270"/>
      <c r="R8" s="270"/>
    </row>
    <row r="9" spans="1:18" ht="15">
      <c r="A9" s="274" t="s">
        <v>24</v>
      </c>
      <c r="B9" s="274"/>
      <c r="C9" s="274"/>
      <c r="D9" s="282">
        <v>0.33250000000000002</v>
      </c>
      <c r="E9" s="270"/>
      <c r="F9" s="274" t="s">
        <v>235</v>
      </c>
      <c r="G9" s="277">
        <v>-9</v>
      </c>
      <c r="H9" s="277">
        <v>-20</v>
      </c>
      <c r="I9" s="277">
        <v>-26</v>
      </c>
      <c r="J9" s="277">
        <v>-27</v>
      </c>
      <c r="K9" s="277"/>
      <c r="L9" s="270"/>
      <c r="M9" s="312" t="s">
        <v>236</v>
      </c>
      <c r="N9" s="313"/>
      <c r="O9" s="313"/>
      <c r="P9" s="313"/>
      <c r="Q9" s="313"/>
      <c r="R9" s="270"/>
    </row>
    <row r="10" spans="1:18" ht="15">
      <c r="A10" s="270"/>
      <c r="B10" s="270"/>
      <c r="C10" s="270"/>
      <c r="D10" s="270"/>
      <c r="E10" s="270"/>
      <c r="F10" s="274" t="s">
        <v>237</v>
      </c>
      <c r="G10" s="277">
        <v>0</v>
      </c>
      <c r="H10" s="277">
        <v>0</v>
      </c>
      <c r="I10" s="277">
        <v>0</v>
      </c>
      <c r="J10" s="277">
        <v>0</v>
      </c>
      <c r="K10" s="277"/>
      <c r="L10" s="270"/>
      <c r="M10" s="274"/>
      <c r="N10" s="274"/>
      <c r="O10" s="274"/>
      <c r="P10" s="273">
        <v>2012</v>
      </c>
      <c r="Q10" s="273">
        <v>2013</v>
      </c>
      <c r="R10" s="270"/>
    </row>
    <row r="11" spans="1:18" ht="15">
      <c r="A11" s="312" t="s">
        <v>238</v>
      </c>
      <c r="B11" s="313"/>
      <c r="C11" s="313"/>
      <c r="D11" s="313"/>
      <c r="E11" s="270"/>
      <c r="F11" s="274" t="s">
        <v>59</v>
      </c>
      <c r="G11" s="277">
        <v>153</v>
      </c>
      <c r="H11" s="277">
        <v>334</v>
      </c>
      <c r="I11" s="277">
        <v>403</v>
      </c>
      <c r="J11" s="277">
        <v>394</v>
      </c>
      <c r="K11" s="277"/>
      <c r="L11" s="270"/>
      <c r="M11" s="274" t="s">
        <v>239</v>
      </c>
      <c r="N11" s="274"/>
      <c r="O11" s="274"/>
      <c r="P11" s="288">
        <v>2465</v>
      </c>
      <c r="Q11" s="307">
        <v>3018</v>
      </c>
      <c r="R11" s="270"/>
    </row>
    <row r="12" spans="1:18">
      <c r="A12" s="274" t="s">
        <v>240</v>
      </c>
      <c r="B12" s="283">
        <v>41639</v>
      </c>
      <c r="C12" s="284"/>
      <c r="D12" s="284">
        <v>58.36</v>
      </c>
      <c r="E12" s="270"/>
      <c r="F12" s="274" t="s">
        <v>241</v>
      </c>
      <c r="G12" s="277">
        <v>0</v>
      </c>
      <c r="H12" s="277">
        <v>0</v>
      </c>
      <c r="I12" s="277">
        <v>0</v>
      </c>
      <c r="J12" s="277">
        <v>0</v>
      </c>
      <c r="K12" s="277"/>
      <c r="L12" s="270"/>
      <c r="M12" s="274" t="s">
        <v>242</v>
      </c>
      <c r="N12" s="274"/>
      <c r="O12" s="274"/>
      <c r="P12" s="288">
        <v>9200</v>
      </c>
      <c r="Q12" s="307">
        <v>9832</v>
      </c>
      <c r="R12" s="270"/>
    </row>
    <row r="13" spans="1:18">
      <c r="A13" s="279" t="s">
        <v>243</v>
      </c>
      <c r="B13" s="274"/>
      <c r="C13" s="286"/>
      <c r="D13" s="286">
        <f>D12/D14</f>
        <v>1</v>
      </c>
      <c r="E13" s="270"/>
      <c r="F13" s="274" t="s">
        <v>244</v>
      </c>
      <c r="G13" s="277">
        <v>0</v>
      </c>
      <c r="H13" s="277">
        <v>0</v>
      </c>
      <c r="I13" s="277">
        <v>0</v>
      </c>
      <c r="J13" s="277">
        <v>0</v>
      </c>
      <c r="K13" s="277"/>
      <c r="L13" s="270"/>
      <c r="M13" s="274" t="s">
        <v>105</v>
      </c>
      <c r="N13" s="274"/>
      <c r="O13" s="274"/>
      <c r="P13" s="288">
        <v>782</v>
      </c>
      <c r="Q13" s="307">
        <v>814</v>
      </c>
      <c r="R13" s="270"/>
    </row>
    <row r="14" spans="1:18" ht="15">
      <c r="A14" s="274" t="s">
        <v>245</v>
      </c>
      <c r="B14" s="274"/>
      <c r="C14" s="284"/>
      <c r="D14" s="284">
        <v>58.36</v>
      </c>
      <c r="E14" s="270"/>
      <c r="F14" s="272" t="s">
        <v>55</v>
      </c>
      <c r="G14" s="276">
        <f>G8-G9+G10-G11-G12-G13</f>
        <v>345</v>
      </c>
      <c r="H14" s="276">
        <f t="shared" ref="H14:J14" si="4">H8-H9+H10-H11-H12-H13</f>
        <v>751</v>
      </c>
      <c r="I14" s="276">
        <f t="shared" si="4"/>
        <v>864</v>
      </c>
      <c r="J14" s="276">
        <f t="shared" si="4"/>
        <v>3934.8999999999996</v>
      </c>
      <c r="K14" s="276"/>
      <c r="L14" s="270"/>
      <c r="M14" s="274" t="s">
        <v>246</v>
      </c>
      <c r="N14" s="274"/>
      <c r="O14" s="274"/>
      <c r="P14" s="288">
        <v>332</v>
      </c>
      <c r="Q14" s="307">
        <v>308</v>
      </c>
      <c r="R14" s="270"/>
    </row>
    <row r="15" spans="1:18" ht="15">
      <c r="A15" s="274" t="s">
        <v>247</v>
      </c>
      <c r="B15" s="274"/>
      <c r="C15" s="284"/>
      <c r="D15" s="284">
        <v>43.64</v>
      </c>
      <c r="E15" s="270"/>
      <c r="F15" s="272"/>
      <c r="G15" s="274"/>
      <c r="H15" s="274"/>
      <c r="I15" s="274"/>
      <c r="J15" s="274"/>
      <c r="K15" s="274"/>
      <c r="L15" s="270"/>
      <c r="M15" s="272" t="s">
        <v>248</v>
      </c>
      <c r="N15" s="272"/>
      <c r="O15" s="272"/>
      <c r="P15" s="290">
        <f>SUM(P11:P14)</f>
        <v>12779</v>
      </c>
      <c r="Q15" s="308">
        <f>SUM(Q11:Q14)</f>
        <v>13972</v>
      </c>
      <c r="R15" s="270"/>
    </row>
    <row r="16" spans="1:18" ht="15">
      <c r="A16" s="274" t="s">
        <v>249</v>
      </c>
      <c r="B16" s="274"/>
      <c r="C16" s="284"/>
      <c r="D16" s="284">
        <v>1.7</v>
      </c>
      <c r="E16" s="270"/>
      <c r="F16" s="274" t="s">
        <v>250</v>
      </c>
      <c r="G16" s="277">
        <v>0</v>
      </c>
      <c r="H16" s="277">
        <v>0</v>
      </c>
      <c r="I16" s="277">
        <v>0</v>
      </c>
      <c r="J16" s="277">
        <v>0</v>
      </c>
      <c r="K16" s="277"/>
      <c r="L16" s="270"/>
      <c r="M16" s="274"/>
      <c r="N16" s="274"/>
      <c r="O16" s="274"/>
      <c r="P16" s="288"/>
      <c r="Q16" s="308"/>
      <c r="R16" s="270"/>
    </row>
    <row r="17" spans="1:18">
      <c r="A17" s="274"/>
      <c r="B17" s="274"/>
      <c r="C17" s="275"/>
      <c r="D17" s="274"/>
      <c r="E17" s="270"/>
      <c r="F17" s="274" t="s">
        <v>251</v>
      </c>
      <c r="G17" s="277">
        <v>0</v>
      </c>
      <c r="H17" s="277">
        <v>0</v>
      </c>
      <c r="I17" s="277">
        <v>0</v>
      </c>
      <c r="J17" s="277">
        <v>355</v>
      </c>
      <c r="K17" s="277"/>
      <c r="L17" s="270"/>
      <c r="M17" s="274" t="s">
        <v>252</v>
      </c>
      <c r="N17" s="274"/>
      <c r="O17" s="274"/>
      <c r="P17" s="288">
        <v>5202</v>
      </c>
      <c r="Q17" s="307">
        <v>5842</v>
      </c>
      <c r="R17" s="270"/>
    </row>
    <row r="18" spans="1:18">
      <c r="A18" s="274" t="s">
        <v>253</v>
      </c>
      <c r="B18" s="274"/>
      <c r="C18" s="274"/>
      <c r="D18" s="309">
        <v>355</v>
      </c>
      <c r="E18" s="270"/>
      <c r="F18" s="274" t="s">
        <v>254</v>
      </c>
      <c r="G18" s="277">
        <v>0</v>
      </c>
      <c r="H18" s="277">
        <v>0</v>
      </c>
      <c r="I18" s="277">
        <v>0</v>
      </c>
      <c r="J18" s="277">
        <f>J14/J17</f>
        <v>11.084225352112675</v>
      </c>
      <c r="K18" s="277"/>
      <c r="L18" s="270"/>
      <c r="M18" s="274" t="s">
        <v>255</v>
      </c>
      <c r="N18" s="274"/>
      <c r="O18" s="274"/>
      <c r="P18" s="288">
        <v>0</v>
      </c>
      <c r="Q18" s="307">
        <v>0</v>
      </c>
      <c r="R18" s="270"/>
    </row>
    <row r="19" spans="1:18" ht="15">
      <c r="A19" s="272" t="s">
        <v>256</v>
      </c>
      <c r="B19" s="274"/>
      <c r="C19" s="289"/>
      <c r="D19" s="276">
        <f>D12*D18</f>
        <v>20717.8</v>
      </c>
      <c r="E19" s="270"/>
      <c r="F19" s="274"/>
      <c r="G19" s="274"/>
      <c r="H19" s="274"/>
      <c r="I19" s="274"/>
      <c r="J19" s="291"/>
      <c r="K19" s="291"/>
      <c r="L19" s="270"/>
      <c r="M19" s="274" t="s">
        <v>257</v>
      </c>
      <c r="N19" s="274"/>
      <c r="O19" s="274"/>
      <c r="P19" s="288">
        <v>647</v>
      </c>
      <c r="Q19" s="307">
        <v>913</v>
      </c>
      <c r="R19" s="270"/>
    </row>
    <row r="20" spans="1:18" ht="15">
      <c r="A20" s="274" t="s">
        <v>258</v>
      </c>
      <c r="B20" s="274"/>
      <c r="C20" s="284"/>
      <c r="D20" s="277">
        <f>Q29</f>
        <v>14093</v>
      </c>
      <c r="E20" s="270"/>
      <c r="F20" s="270"/>
      <c r="G20" s="270"/>
      <c r="H20" s="270"/>
      <c r="I20" s="270"/>
      <c r="J20" s="270"/>
      <c r="K20" s="270"/>
      <c r="L20" s="270"/>
      <c r="M20" s="272" t="s">
        <v>97</v>
      </c>
      <c r="N20" s="272"/>
      <c r="O20" s="272"/>
      <c r="P20" s="290">
        <f>P15+P17+P18+P19</f>
        <v>18628</v>
      </c>
      <c r="Q20" s="308">
        <f>Q16+Q17+Q18+Q19+Q15</f>
        <v>20727</v>
      </c>
      <c r="R20" s="270"/>
    </row>
    <row r="21" spans="1:18" ht="15">
      <c r="A21" s="274" t="s">
        <v>183</v>
      </c>
      <c r="B21" s="274"/>
      <c r="C21" s="284"/>
      <c r="D21" s="277">
        <v>0</v>
      </c>
      <c r="E21" s="270"/>
      <c r="F21" s="312" t="s">
        <v>259</v>
      </c>
      <c r="G21" s="313"/>
      <c r="H21" s="313"/>
      <c r="I21" s="313"/>
      <c r="J21" s="313"/>
      <c r="K21" s="313"/>
      <c r="L21" s="270"/>
      <c r="M21" s="274"/>
      <c r="N21" s="274"/>
      <c r="O21" s="274"/>
      <c r="P21" s="288"/>
      <c r="Q21" s="307"/>
      <c r="R21" s="270"/>
    </row>
    <row r="22" spans="1:18">
      <c r="A22" s="274" t="s">
        <v>241</v>
      </c>
      <c r="B22" s="274"/>
      <c r="C22" s="284"/>
      <c r="D22" s="277">
        <v>0</v>
      </c>
      <c r="E22" s="270"/>
      <c r="F22" s="274" t="s">
        <v>260</v>
      </c>
      <c r="G22" s="277">
        <f>G5</f>
        <v>1420</v>
      </c>
      <c r="H22" s="277">
        <f>H5</f>
        <v>2037</v>
      </c>
      <c r="I22" s="277">
        <f>I5</f>
        <v>2321</v>
      </c>
      <c r="J22" s="277">
        <f>J5</f>
        <v>5352.9</v>
      </c>
      <c r="K22" s="277"/>
      <c r="L22" s="270"/>
      <c r="M22" s="274" t="s">
        <v>261</v>
      </c>
      <c r="N22" s="274"/>
      <c r="O22" s="274"/>
      <c r="P22" s="288">
        <v>0</v>
      </c>
      <c r="Q22" s="307">
        <v>0</v>
      </c>
      <c r="R22" s="270"/>
    </row>
    <row r="23" spans="1:18">
      <c r="A23" s="274" t="s">
        <v>239</v>
      </c>
      <c r="B23" s="274"/>
      <c r="C23" s="284"/>
      <c r="D23" s="277">
        <f>Q11</f>
        <v>3018</v>
      </c>
      <c r="E23" s="270"/>
      <c r="F23" s="274" t="s">
        <v>262</v>
      </c>
      <c r="G23" s="277">
        <v>0</v>
      </c>
      <c r="H23" s="277">
        <v>0</v>
      </c>
      <c r="I23" s="277">
        <v>0</v>
      </c>
      <c r="J23" s="277">
        <v>0</v>
      </c>
      <c r="K23" s="277"/>
      <c r="L23" s="270"/>
      <c r="M23" s="274" t="s">
        <v>263</v>
      </c>
      <c r="N23" s="274"/>
      <c r="O23" s="274"/>
      <c r="P23" s="288">
        <f>1330+3571</f>
        <v>4901</v>
      </c>
      <c r="Q23" s="307">
        <f>1179+1367+2509</f>
        <v>5055</v>
      </c>
      <c r="R23" s="270"/>
    </row>
    <row r="24" spans="1:18" ht="15">
      <c r="A24" s="272" t="s">
        <v>264</v>
      </c>
      <c r="B24" s="274"/>
      <c r="C24" s="289"/>
      <c r="D24" s="276">
        <f>D19+D20+D21+D22-D23</f>
        <v>31792.800000000003</v>
      </c>
      <c r="E24" s="270"/>
      <c r="F24" s="272" t="s">
        <v>265</v>
      </c>
      <c r="G24" s="276">
        <v>0</v>
      </c>
      <c r="H24" s="276">
        <v>0</v>
      </c>
      <c r="I24" s="276">
        <v>0</v>
      </c>
      <c r="J24" s="276">
        <v>0</v>
      </c>
      <c r="K24" s="276"/>
      <c r="L24" s="270"/>
      <c r="M24" s="274" t="s">
        <v>266</v>
      </c>
      <c r="N24" s="274"/>
      <c r="O24" s="274"/>
      <c r="P24" s="288">
        <v>0</v>
      </c>
      <c r="Q24" s="307">
        <f>320+150</f>
        <v>470</v>
      </c>
      <c r="R24" s="270"/>
    </row>
    <row r="25" spans="1:18" ht="15">
      <c r="A25" s="270"/>
      <c r="B25" s="270"/>
      <c r="C25" s="270"/>
      <c r="D25" s="270"/>
      <c r="E25" s="270"/>
      <c r="F25" s="279" t="s">
        <v>154</v>
      </c>
      <c r="G25" s="292">
        <f t="shared" ref="G25:I25" si="5">IFERROR(G24/G$3,"")</f>
        <v>0</v>
      </c>
      <c r="H25" s="292">
        <f t="shared" si="5"/>
        <v>0</v>
      </c>
      <c r="I25" s="292">
        <f t="shared" si="5"/>
        <v>0</v>
      </c>
      <c r="J25" s="292">
        <f>IFERROR(J24/J$3,"")</f>
        <v>0</v>
      </c>
      <c r="K25" s="292"/>
      <c r="L25" s="270"/>
      <c r="M25" s="272" t="s">
        <v>94</v>
      </c>
      <c r="N25" s="272"/>
      <c r="O25" s="272"/>
      <c r="P25" s="290">
        <f>SUM(P22:P24)</f>
        <v>4901</v>
      </c>
      <c r="Q25" s="308">
        <f>SUM(Q22:Q24)</f>
        <v>5525</v>
      </c>
      <c r="R25" s="270"/>
    </row>
    <row r="26" spans="1:18" ht="15">
      <c r="A26" s="312" t="s">
        <v>267</v>
      </c>
      <c r="B26" s="313"/>
      <c r="C26" s="313"/>
      <c r="D26" s="313"/>
      <c r="E26" s="270"/>
      <c r="F26" s="274"/>
      <c r="G26" s="277"/>
      <c r="H26" s="277"/>
      <c r="I26" s="277"/>
      <c r="J26" s="277"/>
      <c r="K26" s="277"/>
      <c r="L26" s="270"/>
      <c r="M26" s="274"/>
      <c r="N26" s="274"/>
      <c r="O26" s="274"/>
      <c r="P26" s="288"/>
      <c r="Q26" s="307"/>
      <c r="R26" s="270"/>
    </row>
    <row r="27" spans="1:18" ht="15">
      <c r="A27" s="272"/>
      <c r="B27" s="273"/>
      <c r="D27" s="273">
        <v>2013</v>
      </c>
      <c r="E27" s="270"/>
      <c r="F27" s="274" t="s">
        <v>268</v>
      </c>
      <c r="G27" s="277">
        <f>G8</f>
        <v>489</v>
      </c>
      <c r="H27" s="277">
        <f>H8</f>
        <v>1065</v>
      </c>
      <c r="I27" s="277">
        <f>I8</f>
        <v>1241</v>
      </c>
      <c r="J27" s="277">
        <f>J8</f>
        <v>4301.8999999999996</v>
      </c>
      <c r="K27" s="277"/>
      <c r="L27" s="270"/>
      <c r="M27" s="274" t="s">
        <v>258</v>
      </c>
      <c r="N27" s="274"/>
      <c r="O27" s="274"/>
      <c r="P27" s="288">
        <v>7880</v>
      </c>
      <c r="Q27" s="307">
        <v>8424</v>
      </c>
      <c r="R27" s="270"/>
    </row>
    <row r="28" spans="1:18">
      <c r="E28" s="270"/>
      <c r="F28" s="274" t="s">
        <v>262</v>
      </c>
      <c r="G28" s="277">
        <v>0</v>
      </c>
      <c r="H28" s="277">
        <v>0</v>
      </c>
      <c r="I28" s="277">
        <v>0</v>
      </c>
      <c r="J28" s="277">
        <v>0</v>
      </c>
      <c r="K28" s="277"/>
      <c r="L28" s="270"/>
      <c r="M28" s="274" t="s">
        <v>269</v>
      </c>
      <c r="N28" s="274"/>
      <c r="O28" s="274"/>
      <c r="P28" s="288">
        <v>0</v>
      </c>
      <c r="Q28" s="307">
        <v>144</v>
      </c>
      <c r="R28" s="270"/>
    </row>
    <row r="29" spans="1:18" ht="15">
      <c r="A29" s="272" t="s">
        <v>270</v>
      </c>
      <c r="B29" s="274"/>
      <c r="D29" s="293">
        <f>D24/J3</f>
        <v>1.9934164738634015</v>
      </c>
      <c r="E29" s="270"/>
      <c r="F29" s="274" t="s">
        <v>271</v>
      </c>
      <c r="G29" s="277">
        <v>0</v>
      </c>
      <c r="H29" s="277">
        <v>0</v>
      </c>
      <c r="I29" s="277">
        <v>0</v>
      </c>
      <c r="J29" s="277">
        <v>0</v>
      </c>
      <c r="K29" s="277"/>
      <c r="L29" s="270"/>
      <c r="M29" s="272" t="s">
        <v>88</v>
      </c>
      <c r="N29" s="272"/>
      <c r="O29" s="272"/>
      <c r="P29" s="290">
        <f>P25+P27+P28</f>
        <v>12781</v>
      </c>
      <c r="Q29" s="308">
        <f>Q25+Q27+Q28</f>
        <v>14093</v>
      </c>
      <c r="R29" s="270"/>
    </row>
    <row r="30" spans="1:18" ht="15">
      <c r="A30" s="274"/>
      <c r="B30" s="274"/>
      <c r="D30" s="295"/>
      <c r="E30" s="270"/>
      <c r="F30" s="272" t="s">
        <v>272</v>
      </c>
      <c r="G30" s="276">
        <f>G8</f>
        <v>489</v>
      </c>
      <c r="H30" s="276">
        <f t="shared" ref="H30:J30" si="6">H8</f>
        <v>1065</v>
      </c>
      <c r="I30" s="276">
        <f t="shared" si="6"/>
        <v>1241</v>
      </c>
      <c r="J30" s="276">
        <f t="shared" si="6"/>
        <v>4301.8999999999996</v>
      </c>
      <c r="K30" s="276"/>
      <c r="L30" s="270"/>
      <c r="M30" s="274"/>
      <c r="N30" s="274"/>
      <c r="O30" s="274"/>
      <c r="P30" s="288"/>
      <c r="Q30" s="307"/>
      <c r="R30" s="270"/>
    </row>
    <row r="31" spans="1:18" ht="15">
      <c r="A31" s="272" t="s">
        <v>273</v>
      </c>
      <c r="B31" s="274"/>
      <c r="D31" s="293">
        <f>D24/J34</f>
        <v>6.4718167938931304</v>
      </c>
      <c r="E31" s="270"/>
      <c r="F31" s="279" t="s">
        <v>154</v>
      </c>
      <c r="G31" s="292">
        <f t="shared" ref="G31:I31" si="7">IFERROR(G30/G$3,"")</f>
        <v>6.2918167781780748E-2</v>
      </c>
      <c r="H31" s="292">
        <f t="shared" si="7"/>
        <v>9.0561224489795922E-2</v>
      </c>
      <c r="I31" s="292">
        <f t="shared" si="7"/>
        <v>9.3540363307454591E-2</v>
      </c>
      <c r="J31" s="292">
        <f>IFERROR(J30/J$3,"")</f>
        <v>0.26973020082889726</v>
      </c>
      <c r="K31" s="292"/>
      <c r="L31" s="270"/>
      <c r="M31" s="274" t="s">
        <v>241</v>
      </c>
      <c r="N31" s="274"/>
      <c r="O31" s="274"/>
      <c r="P31" s="288">
        <v>0</v>
      </c>
      <c r="Q31" s="307">
        <v>0</v>
      </c>
      <c r="R31" s="270"/>
    </row>
    <row r="32" spans="1:18">
      <c r="A32" s="274"/>
      <c r="B32" s="274"/>
      <c r="D32" s="295"/>
      <c r="E32" s="270"/>
      <c r="F32" s="274"/>
      <c r="G32" s="277"/>
      <c r="H32" s="277"/>
      <c r="I32" s="277"/>
      <c r="J32" s="277"/>
      <c r="K32" s="277"/>
      <c r="L32" s="270"/>
      <c r="M32" s="274" t="s">
        <v>183</v>
      </c>
      <c r="N32" s="274"/>
      <c r="O32" s="274"/>
      <c r="P32" s="288">
        <v>0</v>
      </c>
      <c r="Q32" s="307">
        <v>0</v>
      </c>
      <c r="R32" s="270"/>
    </row>
    <row r="33" spans="1:21" ht="15">
      <c r="A33" s="272" t="s">
        <v>274</v>
      </c>
      <c r="B33" s="274"/>
      <c r="D33" s="293">
        <f>D24/J30</f>
        <v>7.3904088890955171</v>
      </c>
      <c r="E33" s="270"/>
      <c r="F33" s="274" t="s">
        <v>151</v>
      </c>
      <c r="G33" s="277">
        <f>N3</f>
        <v>470.6</v>
      </c>
      <c r="H33" s="277">
        <f t="shared" ref="H33:J33" si="8">O3</f>
        <v>484.5</v>
      </c>
      <c r="I33" s="277">
        <f t="shared" si="8"/>
        <v>545.4</v>
      </c>
      <c r="J33" s="277">
        <f t="shared" si="8"/>
        <v>610.6</v>
      </c>
      <c r="K33" s="277"/>
      <c r="L33" s="270"/>
      <c r="M33" s="274" t="s">
        <v>275</v>
      </c>
      <c r="N33" s="274"/>
      <c r="O33" s="274"/>
      <c r="P33" s="288">
        <v>5847</v>
      </c>
      <c r="Q33" s="307">
        <v>6634</v>
      </c>
      <c r="R33" s="270"/>
    </row>
    <row r="34" spans="1:21" ht="15">
      <c r="A34" s="274"/>
      <c r="B34" s="274"/>
      <c r="D34" s="295"/>
      <c r="E34" s="270"/>
      <c r="F34" s="272" t="s">
        <v>276</v>
      </c>
      <c r="G34" s="276">
        <f>G33+G8</f>
        <v>959.6</v>
      </c>
      <c r="H34" s="276">
        <f t="shared" ref="H34:J34" si="9">H33+H8</f>
        <v>1549.5</v>
      </c>
      <c r="I34" s="276">
        <f t="shared" si="9"/>
        <v>1786.4</v>
      </c>
      <c r="J34" s="276">
        <f t="shared" si="9"/>
        <v>4912.5</v>
      </c>
      <c r="K34" s="276"/>
      <c r="L34" s="270"/>
      <c r="M34" s="296" t="s">
        <v>277</v>
      </c>
      <c r="N34" s="296"/>
      <c r="O34" s="296"/>
      <c r="P34" s="310">
        <f>P29+P33+P32+P31</f>
        <v>18628</v>
      </c>
      <c r="Q34" s="311">
        <f>Q29+Q33+Q32+Q31</f>
        <v>20727</v>
      </c>
      <c r="R34" s="270"/>
    </row>
    <row r="35" spans="1:21" ht="15">
      <c r="A35" s="272" t="s">
        <v>278</v>
      </c>
      <c r="B35" s="274"/>
      <c r="D35" s="293">
        <f>D12/J18</f>
        <v>5.2651401560395437</v>
      </c>
      <c r="E35" s="270"/>
      <c r="F35" s="279" t="s">
        <v>154</v>
      </c>
      <c r="G35" s="292">
        <f t="shared" ref="G35:I35" si="10">IFERROR(G34/G$3,"")</f>
        <v>0.12346886258363356</v>
      </c>
      <c r="H35" s="292">
        <f t="shared" si="10"/>
        <v>0.13176020408163266</v>
      </c>
      <c r="I35" s="292">
        <f t="shared" si="10"/>
        <v>0.13464988316876461</v>
      </c>
      <c r="J35" s="292">
        <f>IFERROR(J34/J$3,"")</f>
        <v>0.30801497281944212</v>
      </c>
      <c r="K35" s="292"/>
      <c r="L35" s="270"/>
      <c r="M35" s="279" t="s">
        <v>279</v>
      </c>
      <c r="N35" s="274"/>
      <c r="O35" s="274"/>
      <c r="P35" s="288">
        <f>P20-P34</f>
        <v>0</v>
      </c>
      <c r="Q35" s="307">
        <f>Q20-Q34</f>
        <v>0</v>
      </c>
      <c r="R35" s="270"/>
    </row>
    <row r="36" spans="1:21">
      <c r="A36" s="274"/>
      <c r="B36" s="274"/>
      <c r="C36" s="274"/>
      <c r="D36" s="275"/>
      <c r="E36" s="270"/>
      <c r="F36" s="274"/>
      <c r="G36" s="274"/>
      <c r="H36" s="274"/>
      <c r="I36" s="274"/>
      <c r="J36" s="274"/>
      <c r="K36" s="274"/>
      <c r="L36" s="270"/>
      <c r="R36" s="270"/>
    </row>
    <row r="37" spans="1:21" ht="15" customHeight="1">
      <c r="A37" s="298"/>
      <c r="B37" s="299"/>
      <c r="C37" s="299"/>
      <c r="D37" s="299"/>
      <c r="E37" s="270"/>
      <c r="F37" s="274" t="s">
        <v>280</v>
      </c>
      <c r="G37" s="277">
        <v>0</v>
      </c>
      <c r="H37" s="277">
        <v>0</v>
      </c>
      <c r="I37" s="277">
        <v>0</v>
      </c>
      <c r="J37" s="277">
        <v>0</v>
      </c>
      <c r="K37" s="277"/>
      <c r="L37" s="270"/>
      <c r="M37" s="270"/>
      <c r="N37" s="270"/>
      <c r="O37" s="270"/>
      <c r="P37" s="270"/>
      <c r="Q37" s="270"/>
      <c r="R37" s="270"/>
    </row>
    <row r="38" spans="1:21" ht="15">
      <c r="A38" s="274"/>
      <c r="B38" s="274"/>
      <c r="C38" s="300"/>
      <c r="D38" s="277"/>
      <c r="E38" s="270"/>
      <c r="F38" s="274" t="s">
        <v>262</v>
      </c>
      <c r="G38" s="277">
        <v>0</v>
      </c>
      <c r="H38" s="277">
        <v>0</v>
      </c>
      <c r="I38" s="277">
        <v>0</v>
      </c>
      <c r="J38" s="277">
        <v>0</v>
      </c>
      <c r="K38" s="277"/>
      <c r="L38" s="270"/>
      <c r="M38" s="312" t="s">
        <v>281</v>
      </c>
      <c r="N38" s="313"/>
      <c r="O38" s="313"/>
      <c r="P38" s="313"/>
      <c r="Q38" s="313"/>
      <c r="R38" s="270"/>
    </row>
    <row r="39" spans="1:21">
      <c r="A39" s="274"/>
      <c r="B39" s="274"/>
      <c r="C39" s="174"/>
      <c r="D39" s="301"/>
      <c r="E39" s="270"/>
      <c r="F39" s="274" t="s">
        <v>271</v>
      </c>
      <c r="G39" s="277">
        <v>0</v>
      </c>
      <c r="H39" s="277">
        <v>0</v>
      </c>
      <c r="I39" s="277">
        <v>0</v>
      </c>
      <c r="J39" s="277">
        <v>0</v>
      </c>
      <c r="K39" s="277"/>
      <c r="L39" s="270"/>
      <c r="M39" s="274" t="s">
        <v>282</v>
      </c>
      <c r="N39" s="302">
        <f>D20+Q33-SUM(Q17:Q19)</f>
        <v>13972</v>
      </c>
      <c r="O39" s="274"/>
      <c r="P39" s="274"/>
      <c r="Q39" s="274"/>
      <c r="R39" s="270"/>
    </row>
    <row r="40" spans="1:21">
      <c r="A40" s="274"/>
      <c r="B40" s="274"/>
      <c r="C40" s="174"/>
      <c r="D40" s="301"/>
      <c r="E40" s="270"/>
      <c r="F40" s="274" t="s">
        <v>283</v>
      </c>
      <c r="G40" s="277">
        <v>0</v>
      </c>
      <c r="H40" s="277">
        <v>0</v>
      </c>
      <c r="I40" s="277">
        <v>0</v>
      </c>
      <c r="J40" s="277">
        <v>0</v>
      </c>
      <c r="K40" s="277"/>
      <c r="L40" s="270"/>
      <c r="M40" s="274" t="s">
        <v>284</v>
      </c>
      <c r="N40" s="277">
        <f>((Q27-Q11)+(P27-P11))/2</f>
        <v>5410.5</v>
      </c>
      <c r="O40" s="274"/>
      <c r="P40" s="274"/>
      <c r="Q40" s="274"/>
      <c r="R40" s="270"/>
    </row>
    <row r="41" spans="1:21">
      <c r="A41" s="274"/>
      <c r="B41" s="274"/>
      <c r="C41" s="277"/>
      <c r="D41" s="277"/>
      <c r="E41" s="270"/>
      <c r="F41" s="274" t="s">
        <v>285</v>
      </c>
      <c r="G41" s="277">
        <v>0</v>
      </c>
      <c r="H41" s="277">
        <v>0</v>
      </c>
      <c r="I41" s="277">
        <v>0</v>
      </c>
      <c r="J41" s="277">
        <v>0</v>
      </c>
      <c r="K41" s="277"/>
      <c r="L41" s="270"/>
      <c r="R41" s="270"/>
    </row>
    <row r="42" spans="1:21" ht="15">
      <c r="A42" s="274"/>
      <c r="B42" s="274"/>
      <c r="C42" s="274"/>
      <c r="D42" s="274"/>
      <c r="E42" s="270"/>
      <c r="F42" s="272" t="s">
        <v>286</v>
      </c>
      <c r="G42" s="303">
        <f>G14</f>
        <v>345</v>
      </c>
      <c r="H42" s="303">
        <f t="shared" ref="H42:J42" si="11">H14</f>
        <v>751</v>
      </c>
      <c r="I42" s="303">
        <f t="shared" si="11"/>
        <v>864</v>
      </c>
      <c r="J42" s="303">
        <f t="shared" si="11"/>
        <v>3934.8999999999996</v>
      </c>
      <c r="K42" s="303"/>
      <c r="L42" s="270"/>
      <c r="R42" s="270"/>
    </row>
    <row r="43" spans="1:21" ht="15">
      <c r="A43" s="298"/>
      <c r="B43" s="299"/>
      <c r="C43" s="299"/>
      <c r="D43" s="299"/>
      <c r="E43" s="270"/>
      <c r="F43" s="279" t="s">
        <v>154</v>
      </c>
      <c r="G43" s="292">
        <f t="shared" ref="G43:I43" si="12">IFERROR(G42/G$3,"")</f>
        <v>4.4390118373648993E-2</v>
      </c>
      <c r="H43" s="292">
        <f t="shared" si="12"/>
        <v>6.3860544217687068E-2</v>
      </c>
      <c r="I43" s="292">
        <f t="shared" si="12"/>
        <v>6.5123991859501018E-2</v>
      </c>
      <c r="J43" s="292">
        <f>IFERROR(J42/J$3,"")</f>
        <v>0.2467192094752616</v>
      </c>
      <c r="K43" s="292"/>
      <c r="L43" s="270"/>
      <c r="R43" s="270"/>
    </row>
    <row r="44" spans="1:21">
      <c r="A44" s="274"/>
      <c r="B44" s="274"/>
      <c r="C44" s="291"/>
      <c r="D44" s="304"/>
      <c r="E44" s="270"/>
      <c r="F44" s="274"/>
      <c r="G44" s="274"/>
      <c r="H44" s="274"/>
      <c r="I44" s="274"/>
      <c r="J44" s="274"/>
      <c r="K44" s="274"/>
      <c r="L44" s="270"/>
      <c r="R44" s="270"/>
    </row>
    <row r="45" spans="1:21">
      <c r="A45" s="274"/>
      <c r="B45" s="274"/>
      <c r="C45" s="291"/>
      <c r="D45" s="304"/>
      <c r="E45" s="270"/>
      <c r="F45" s="274" t="s">
        <v>287</v>
      </c>
      <c r="G45" s="305">
        <v>0</v>
      </c>
      <c r="H45" s="305">
        <v>0</v>
      </c>
      <c r="I45" s="305">
        <v>0</v>
      </c>
      <c r="J45" s="305">
        <v>0</v>
      </c>
      <c r="K45" s="305"/>
      <c r="L45" s="270"/>
      <c r="R45" s="270"/>
    </row>
    <row r="46" spans="1:21" ht="15" customHeight="1">
      <c r="A46" s="270"/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</row>
    <row r="47" spans="1:21" ht="15" customHeight="1"/>
    <row r="48" spans="1:21">
      <c r="A48" s="274"/>
      <c r="B48" s="274"/>
      <c r="C48" s="291"/>
      <c r="D48" s="306"/>
      <c r="F48" s="274"/>
      <c r="G48" s="274"/>
      <c r="H48" s="274"/>
      <c r="I48" s="274"/>
      <c r="J48" s="274"/>
      <c r="K48" s="274"/>
      <c r="M48" s="274"/>
      <c r="N48" s="274"/>
      <c r="O48" s="274"/>
      <c r="P48" s="274"/>
      <c r="Q48" s="274"/>
      <c r="R48" s="274"/>
      <c r="S48" s="274"/>
      <c r="T48" s="274"/>
      <c r="U48" s="274"/>
    </row>
    <row r="49" spans="1:21">
      <c r="A49" s="274"/>
      <c r="B49" s="274"/>
      <c r="C49" s="291"/>
      <c r="D49" s="306"/>
      <c r="F49" s="274"/>
      <c r="G49" s="274"/>
      <c r="H49" s="274"/>
      <c r="I49" s="274"/>
      <c r="J49" s="274"/>
      <c r="K49" s="274"/>
      <c r="M49" s="274"/>
      <c r="N49" s="274"/>
      <c r="O49" s="274"/>
      <c r="P49" s="274"/>
      <c r="Q49" s="274"/>
      <c r="R49" s="274"/>
      <c r="S49" s="274"/>
      <c r="T49" s="274"/>
      <c r="U49" s="274"/>
    </row>
    <row r="50" spans="1:21">
      <c r="A50" s="274"/>
      <c r="B50" s="274"/>
      <c r="C50" s="274"/>
      <c r="D50" s="274"/>
      <c r="F50" s="274"/>
      <c r="G50" s="274"/>
      <c r="H50" s="274"/>
      <c r="I50" s="274"/>
      <c r="J50" s="274"/>
      <c r="K50" s="274"/>
      <c r="M50" s="274"/>
      <c r="N50" s="274"/>
      <c r="O50" s="274"/>
      <c r="P50" s="274"/>
      <c r="Q50" s="274"/>
      <c r="R50" s="274"/>
      <c r="S50" s="274"/>
      <c r="T50" s="274"/>
      <c r="U50" s="274"/>
    </row>
    <row r="51" spans="1:21" ht="15">
      <c r="A51" s="298"/>
      <c r="B51" s="299"/>
      <c r="C51" s="299"/>
      <c r="D51" s="299"/>
      <c r="F51" s="274"/>
      <c r="G51" s="274"/>
      <c r="H51" s="274"/>
      <c r="I51" s="274"/>
      <c r="J51" s="274"/>
      <c r="K51" s="274"/>
      <c r="M51" s="274"/>
      <c r="N51" s="274"/>
      <c r="O51" s="274"/>
      <c r="P51" s="274"/>
      <c r="Q51" s="274"/>
      <c r="R51" s="274"/>
      <c r="S51" s="274"/>
      <c r="T51" s="274"/>
      <c r="U51" s="274"/>
    </row>
    <row r="52" spans="1:21" ht="15">
      <c r="A52" s="274"/>
      <c r="B52" s="273"/>
      <c r="C52" s="273"/>
      <c r="D52" s="273"/>
      <c r="F52" s="274"/>
      <c r="G52" s="274"/>
      <c r="H52" s="274"/>
      <c r="I52" s="274"/>
      <c r="J52" s="274"/>
      <c r="K52" s="274"/>
      <c r="M52" s="274"/>
      <c r="N52" s="274"/>
      <c r="O52" s="274"/>
      <c r="P52" s="274"/>
      <c r="Q52" s="274"/>
      <c r="R52" s="274"/>
      <c r="S52" s="274"/>
      <c r="T52" s="274"/>
      <c r="U52" s="274"/>
    </row>
    <row r="53" spans="1:21" ht="15">
      <c r="A53" s="272"/>
      <c r="B53" s="274"/>
      <c r="C53" s="274"/>
      <c r="D53" s="274"/>
      <c r="F53" s="274"/>
      <c r="G53" s="274"/>
      <c r="H53" s="274"/>
      <c r="I53" s="274"/>
      <c r="J53" s="274"/>
      <c r="K53" s="274"/>
      <c r="M53" s="274"/>
      <c r="N53" s="274"/>
      <c r="O53" s="274"/>
      <c r="P53" s="274"/>
      <c r="Q53" s="274"/>
      <c r="R53" s="274"/>
      <c r="S53" s="274"/>
      <c r="T53" s="274"/>
      <c r="U53" s="274"/>
    </row>
    <row r="54" spans="1:21">
      <c r="A54" s="274"/>
      <c r="B54" s="301"/>
      <c r="C54" s="174"/>
      <c r="D54" s="174"/>
      <c r="F54" s="274"/>
      <c r="G54" s="274"/>
      <c r="H54" s="274"/>
      <c r="I54" s="274"/>
      <c r="J54" s="274"/>
      <c r="K54" s="274"/>
      <c r="M54" s="274"/>
      <c r="N54" s="274"/>
      <c r="O54" s="274"/>
      <c r="P54" s="274"/>
      <c r="Q54" s="274"/>
      <c r="R54" s="274"/>
      <c r="S54" s="274"/>
      <c r="T54" s="274"/>
      <c r="U54" s="274"/>
    </row>
    <row r="55" spans="1:21">
      <c r="A55" s="274"/>
      <c r="B55" s="301"/>
      <c r="C55" s="306"/>
      <c r="D55" s="306"/>
      <c r="F55" s="274"/>
      <c r="G55" s="274"/>
      <c r="H55" s="274"/>
      <c r="I55" s="274"/>
      <c r="J55" s="274"/>
      <c r="K55" s="274"/>
      <c r="L55" s="299"/>
      <c r="M55" s="274"/>
      <c r="N55" s="274"/>
      <c r="O55" s="274"/>
      <c r="P55" s="274"/>
      <c r="Q55" s="274"/>
      <c r="R55" s="274"/>
      <c r="S55" s="274"/>
      <c r="T55" s="274"/>
      <c r="U55" s="274"/>
    </row>
    <row r="56" spans="1:21" ht="15">
      <c r="A56" s="272"/>
      <c r="B56" s="306"/>
      <c r="C56" s="306"/>
      <c r="D56" s="306"/>
      <c r="F56" s="274"/>
      <c r="G56" s="274"/>
      <c r="H56" s="274"/>
      <c r="I56" s="274"/>
      <c r="J56" s="274"/>
      <c r="K56" s="274"/>
      <c r="M56" s="274"/>
      <c r="N56" s="274"/>
      <c r="O56" s="274"/>
      <c r="P56" s="274"/>
      <c r="Q56" s="274"/>
      <c r="R56" s="274"/>
      <c r="S56" s="274"/>
      <c r="T56" s="274"/>
      <c r="U56" s="274"/>
    </row>
    <row r="57" spans="1:21">
      <c r="A57" s="274"/>
      <c r="B57" s="306"/>
      <c r="C57" s="306"/>
      <c r="D57" s="306"/>
      <c r="F57" s="274"/>
      <c r="G57" s="274"/>
      <c r="H57" s="274"/>
      <c r="I57" s="274"/>
      <c r="J57" s="274"/>
      <c r="K57" s="274"/>
      <c r="M57" s="274"/>
      <c r="N57" s="274"/>
      <c r="O57" s="274"/>
      <c r="P57" s="274"/>
      <c r="Q57" s="274"/>
      <c r="R57" s="274"/>
      <c r="S57" s="274"/>
      <c r="T57" s="274"/>
      <c r="U57" s="274"/>
    </row>
    <row r="58" spans="1:21">
      <c r="A58" s="274"/>
      <c r="B58" s="306"/>
      <c r="C58" s="306"/>
      <c r="D58" s="306"/>
      <c r="F58" s="274"/>
      <c r="G58" s="274"/>
      <c r="H58" s="274"/>
      <c r="I58" s="274"/>
      <c r="J58" s="274"/>
      <c r="K58" s="274"/>
      <c r="M58" s="274"/>
      <c r="N58" s="274"/>
      <c r="O58" s="274"/>
      <c r="P58" s="274"/>
      <c r="Q58" s="274"/>
      <c r="R58" s="274"/>
      <c r="S58" s="274"/>
      <c r="T58" s="274"/>
      <c r="U58" s="274"/>
    </row>
    <row r="59" spans="1:21">
      <c r="A59" s="274"/>
      <c r="B59" s="306"/>
      <c r="C59" s="306"/>
      <c r="D59" s="306"/>
      <c r="F59" s="274"/>
      <c r="G59" s="274"/>
      <c r="H59" s="274"/>
      <c r="I59" s="274"/>
      <c r="J59" s="274"/>
      <c r="K59" s="274"/>
      <c r="M59" s="274"/>
      <c r="N59" s="274"/>
      <c r="O59" s="274"/>
      <c r="P59" s="274"/>
      <c r="Q59" s="274"/>
      <c r="R59" s="274"/>
      <c r="S59" s="274"/>
      <c r="T59" s="274"/>
      <c r="U59" s="274"/>
    </row>
    <row r="60" spans="1:21">
      <c r="A60" s="274"/>
      <c r="B60" s="274"/>
      <c r="C60" s="274"/>
      <c r="D60" s="274"/>
      <c r="F60" s="274"/>
      <c r="G60" s="274"/>
      <c r="H60" s="274"/>
      <c r="I60" s="274"/>
      <c r="J60" s="274"/>
      <c r="K60" s="274"/>
      <c r="M60" s="274"/>
      <c r="N60" s="274"/>
      <c r="O60" s="274"/>
      <c r="P60" s="274"/>
      <c r="Q60" s="274"/>
      <c r="R60" s="274"/>
      <c r="S60" s="274"/>
      <c r="T60" s="274"/>
      <c r="U60" s="274"/>
    </row>
    <row r="61" spans="1:21">
      <c r="A61" s="274"/>
      <c r="B61" s="274"/>
      <c r="C61" s="274"/>
      <c r="D61" s="274"/>
      <c r="F61" s="274"/>
      <c r="G61" s="274"/>
      <c r="H61" s="274"/>
      <c r="I61" s="274"/>
      <c r="J61" s="274"/>
      <c r="K61" s="274"/>
      <c r="M61" s="274"/>
      <c r="N61" s="274"/>
      <c r="O61" s="274"/>
      <c r="P61" s="274"/>
      <c r="Q61" s="274"/>
      <c r="R61" s="274"/>
      <c r="S61" s="274"/>
      <c r="T61" s="274"/>
      <c r="U61" s="274"/>
    </row>
    <row r="62" spans="1:21">
      <c r="A62" s="274"/>
      <c r="B62" s="274"/>
      <c r="C62" s="274"/>
      <c r="D62" s="274"/>
      <c r="F62" s="274"/>
      <c r="G62" s="274"/>
      <c r="H62" s="274"/>
      <c r="I62" s="274"/>
      <c r="J62" s="274"/>
      <c r="K62" s="274"/>
      <c r="M62" s="274"/>
      <c r="N62" s="274"/>
      <c r="O62" s="274"/>
      <c r="P62" s="274"/>
      <c r="Q62" s="274"/>
      <c r="R62" s="274"/>
      <c r="S62" s="274"/>
      <c r="T62" s="274"/>
      <c r="U62" s="274"/>
    </row>
    <row r="63" spans="1:21">
      <c r="A63" s="274"/>
      <c r="B63" s="274"/>
      <c r="C63" s="274"/>
      <c r="D63" s="274"/>
      <c r="F63" s="274"/>
      <c r="G63" s="274"/>
      <c r="H63" s="274"/>
      <c r="I63" s="274"/>
      <c r="J63" s="274"/>
      <c r="K63" s="274"/>
      <c r="M63" s="274"/>
      <c r="N63" s="274"/>
      <c r="O63" s="274"/>
      <c r="P63" s="274"/>
      <c r="Q63" s="274"/>
      <c r="R63" s="274"/>
      <c r="S63" s="274"/>
      <c r="T63" s="274"/>
      <c r="U63" s="274"/>
    </row>
  </sheetData>
  <pageMargins left="0.70866141732283472" right="0.70866141732283472" top="0.74803149606299213" bottom="0.74803149606299213" header="0.31496062992125984" footer="0.31496062992125984"/>
  <pageSetup paperSize="9" scale="46" orientation="landscape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0" tint="-0.249977111117893"/>
  </sheetPr>
  <dimension ref="A1:M69"/>
  <sheetViews>
    <sheetView workbookViewId="0">
      <selection activeCell="B2" sqref="B2"/>
    </sheetView>
  </sheetViews>
  <sheetFormatPr defaultColWidth="8.85546875" defaultRowHeight="15"/>
  <cols>
    <col min="1" max="1" width="10.140625" bestFit="1" customWidth="1"/>
  </cols>
  <sheetData>
    <row r="1" spans="1:13">
      <c r="A1" t="s">
        <v>395</v>
      </c>
      <c r="B1" t="s">
        <v>406</v>
      </c>
      <c r="C1" t="s">
        <v>400</v>
      </c>
    </row>
    <row r="2" spans="1:13">
      <c r="A2" s="474">
        <f>'Cost of Equity'!A40</f>
        <v>39871</v>
      </c>
      <c r="B2">
        <f>'Cost of Equity'!AQ40</f>
        <v>8.1952736214643773E-2</v>
      </c>
      <c r="C2">
        <f>'Cost of Equity'!S40</f>
        <v>2.69947065275935E-2</v>
      </c>
      <c r="E2" s="473" t="s">
        <v>346</v>
      </c>
      <c r="F2" s="473"/>
      <c r="G2" s="473"/>
      <c r="H2" s="473"/>
      <c r="I2" s="473"/>
      <c r="J2" s="473"/>
      <c r="K2" s="473"/>
      <c r="L2" s="473"/>
      <c r="M2" s="473"/>
    </row>
    <row r="3" spans="1:13" ht="15.75" thickBot="1">
      <c r="A3" s="474">
        <f>'Cost of Equity'!A41</f>
        <v>39903</v>
      </c>
      <c r="B3" s="473">
        <f>'Cost of Equity'!AQ41</f>
        <v>8.9772214920969498E-2</v>
      </c>
      <c r="C3" s="473">
        <f>'Cost of Equity'!S41</f>
        <v>0.31907054848027805</v>
      </c>
      <c r="E3" s="473"/>
      <c r="F3" s="473"/>
      <c r="G3" s="473"/>
      <c r="H3" s="473"/>
      <c r="I3" s="473"/>
      <c r="J3" s="473"/>
      <c r="K3" s="473"/>
      <c r="L3" s="473"/>
      <c r="M3" s="473"/>
    </row>
    <row r="4" spans="1:13">
      <c r="A4" s="474">
        <f>'Cost of Equity'!A42</f>
        <v>39933</v>
      </c>
      <c r="B4" s="473">
        <f>'Cost of Equity'!AQ42</f>
        <v>5.1720558420882315E-2</v>
      </c>
      <c r="C4" s="473">
        <f>'Cost of Equity'!S42</f>
        <v>-0.16599667712655425</v>
      </c>
      <c r="E4" s="445" t="s">
        <v>347</v>
      </c>
      <c r="F4" s="445"/>
      <c r="G4" s="473"/>
      <c r="H4" s="473"/>
      <c r="I4" s="473"/>
      <c r="J4" s="473"/>
      <c r="K4" s="473"/>
      <c r="L4" s="473"/>
      <c r="M4" s="473"/>
    </row>
    <row r="5" spans="1:13">
      <c r="A5" s="474">
        <f>'Cost of Equity'!A43</f>
        <v>39962</v>
      </c>
      <c r="B5" s="473">
        <f>'Cost of Equity'!AQ43</f>
        <v>1.9581606407012827E-4</v>
      </c>
      <c r="C5" s="473">
        <f>'Cost of Equity'!S43</f>
        <v>8.2830379330732951E-2</v>
      </c>
      <c r="E5" s="442" t="s">
        <v>348</v>
      </c>
      <c r="F5" s="442">
        <v>0.67326030169858075</v>
      </c>
      <c r="G5" s="473"/>
      <c r="H5" s="473"/>
      <c r="I5" s="473"/>
      <c r="J5" s="473"/>
      <c r="K5" s="473"/>
      <c r="L5" s="473"/>
      <c r="M5" s="473"/>
    </row>
    <row r="6" spans="1:13">
      <c r="A6" s="474">
        <f>'Cost of Equity'!A44</f>
        <v>39993</v>
      </c>
      <c r="B6" s="473">
        <f>'Cost of Equity'!AQ44</f>
        <v>7.1521977088891908E-2</v>
      </c>
      <c r="C6" s="473">
        <f>'Cost of Equity'!S44</f>
        <v>6.6167130038188887E-2</v>
      </c>
      <c r="E6" s="442" t="s">
        <v>349</v>
      </c>
      <c r="F6" s="442">
        <v>0.45327943384326397</v>
      </c>
      <c r="G6" s="473"/>
      <c r="H6" s="473"/>
      <c r="I6" s="473"/>
      <c r="J6" s="473"/>
      <c r="K6" s="473"/>
      <c r="L6" s="473"/>
      <c r="M6" s="473"/>
    </row>
    <row r="7" spans="1:13">
      <c r="A7" s="474">
        <f>'Cost of Equity'!A45</f>
        <v>40025</v>
      </c>
      <c r="B7" s="473">
        <f>'Cost of Equity'!AQ45</f>
        <v>3.3009321348136535E-2</v>
      </c>
      <c r="C7" s="473">
        <f>'Cost of Equity'!S45</f>
        <v>4.5477508496319152E-2</v>
      </c>
      <c r="E7" s="442" t="s">
        <v>350</v>
      </c>
      <c r="F7" s="442">
        <v>0.44499578890149522</v>
      </c>
      <c r="G7" s="473"/>
      <c r="H7" s="473"/>
      <c r="I7" s="473"/>
      <c r="J7" s="473"/>
      <c r="K7" s="473"/>
      <c r="L7" s="473"/>
      <c r="M7" s="473"/>
    </row>
    <row r="8" spans="1:13">
      <c r="A8" s="474">
        <f>'Cost of Equity'!A46</f>
        <v>40056</v>
      </c>
      <c r="B8" s="473">
        <f>'Cost of Equity'!AQ46</f>
        <v>3.5100104155946166E-2</v>
      </c>
      <c r="C8" s="473">
        <f>'Cost of Equity'!S46</f>
        <v>4.1414823765566773E-2</v>
      </c>
      <c r="E8" s="442" t="s">
        <v>351</v>
      </c>
      <c r="F8" s="442">
        <v>6.6815387574018836E-2</v>
      </c>
      <c r="G8" s="473"/>
      <c r="H8" s="473"/>
      <c r="I8" s="473"/>
      <c r="J8" s="473"/>
      <c r="K8" s="473"/>
      <c r="L8" s="473"/>
      <c r="M8" s="473"/>
    </row>
    <row r="9" spans="1:13" ht="15.75" thickBot="1">
      <c r="A9" s="474">
        <f>'Cost of Equity'!A47</f>
        <v>40086</v>
      </c>
      <c r="B9" s="473">
        <f>'Cost of Equity'!AQ47</f>
        <v>-1.9959865222177731E-2</v>
      </c>
      <c r="C9" s="473">
        <f>'Cost of Equity'!S47</f>
        <v>-7.847356986454215E-3</v>
      </c>
      <c r="E9" s="443" t="s">
        <v>352</v>
      </c>
      <c r="F9" s="443">
        <v>68</v>
      </c>
      <c r="G9" s="473"/>
      <c r="H9" s="473"/>
      <c r="I9" s="473"/>
      <c r="J9" s="473"/>
      <c r="K9" s="473"/>
      <c r="L9" s="473"/>
      <c r="M9" s="473"/>
    </row>
    <row r="10" spans="1:13">
      <c r="A10" s="474">
        <f>'Cost of Equity'!A48</f>
        <v>40116</v>
      </c>
      <c r="B10" s="473">
        <f>'Cost of Equity'!AQ48</f>
        <v>5.5779015582807137E-2</v>
      </c>
      <c r="C10" s="473">
        <f>'Cost of Equity'!S48</f>
        <v>-6.7026650433519687E-3</v>
      </c>
      <c r="E10" s="473"/>
      <c r="F10" s="473"/>
      <c r="G10" s="473"/>
      <c r="H10" s="473"/>
      <c r="I10" s="473"/>
      <c r="J10" s="473"/>
      <c r="K10" s="473"/>
      <c r="L10" s="473"/>
      <c r="M10" s="473"/>
    </row>
    <row r="11" spans="1:13" ht="15.75" thickBot="1">
      <c r="A11" s="474">
        <f>'Cost of Equity'!A49</f>
        <v>40147</v>
      </c>
      <c r="B11" s="473">
        <f>'Cost of Equity'!AQ49</f>
        <v>1.7614546700982087E-2</v>
      </c>
      <c r="C11" s="473">
        <f>'Cost of Equity'!S49</f>
        <v>-2.2326520095178097E-2</v>
      </c>
      <c r="E11" s="473" t="s">
        <v>353</v>
      </c>
      <c r="F11" s="473"/>
      <c r="G11" s="473"/>
      <c r="H11" s="473"/>
      <c r="I11" s="473"/>
      <c r="J11" s="473"/>
      <c r="K11" s="473"/>
      <c r="L11" s="473"/>
      <c r="M11" s="473"/>
    </row>
    <row r="12" spans="1:13">
      <c r="A12" s="474">
        <f>'Cost of Equity'!A50</f>
        <v>40178</v>
      </c>
      <c r="B12" s="473">
        <f>'Cost of Equity'!AQ50</f>
        <v>-3.7675141059320766E-2</v>
      </c>
      <c r="C12" s="473">
        <f>'Cost of Equity'!S50</f>
        <v>-6.5865092296065499E-3</v>
      </c>
      <c r="E12" s="444"/>
      <c r="F12" s="444" t="s">
        <v>354</v>
      </c>
      <c r="G12" s="444" t="s">
        <v>355</v>
      </c>
      <c r="H12" s="444" t="s">
        <v>356</v>
      </c>
      <c r="I12" s="444" t="s">
        <v>357</v>
      </c>
      <c r="J12" s="444" t="s">
        <v>358</v>
      </c>
      <c r="K12" s="473"/>
      <c r="L12" s="473"/>
      <c r="M12" s="473"/>
    </row>
    <row r="13" spans="1:13">
      <c r="A13" s="474">
        <f>'Cost of Equity'!A51</f>
        <v>40207</v>
      </c>
      <c r="B13" s="473">
        <f>'Cost of Equity'!AQ51</f>
        <v>2.8114744036660498E-2</v>
      </c>
      <c r="C13" s="473">
        <f>'Cost of Equity'!S51</f>
        <v>-1.6660290965607578E-2</v>
      </c>
      <c r="E13" s="442" t="s">
        <v>359</v>
      </c>
      <c r="F13" s="442">
        <v>1</v>
      </c>
      <c r="G13" s="442">
        <v>0.24428540638430452</v>
      </c>
      <c r="H13" s="442">
        <v>0.24428540638430452</v>
      </c>
      <c r="I13" s="442">
        <v>54.71980475137066</v>
      </c>
      <c r="J13" s="442">
        <v>3.1710342472932053E-10</v>
      </c>
      <c r="K13" s="473"/>
      <c r="L13" s="473"/>
      <c r="M13" s="473"/>
    </row>
    <row r="14" spans="1:13">
      <c r="A14" s="474">
        <f>'Cost of Equity'!A52</f>
        <v>40235</v>
      </c>
      <c r="B14" s="473">
        <f>'Cost of Equity'!AQ52</f>
        <v>5.7132760645483123E-2</v>
      </c>
      <c r="C14" s="473">
        <f>'Cost of Equity'!S52</f>
        <v>0.20357357189819925</v>
      </c>
      <c r="E14" s="442" t="s">
        <v>360</v>
      </c>
      <c r="F14" s="442">
        <v>66</v>
      </c>
      <c r="G14" s="442">
        <v>0.29464353709997915</v>
      </c>
      <c r="H14" s="442">
        <v>4.464296016666351E-3</v>
      </c>
      <c r="I14" s="442"/>
      <c r="J14" s="442"/>
      <c r="K14" s="473"/>
      <c r="L14" s="473"/>
      <c r="M14" s="473"/>
    </row>
    <row r="15" spans="1:13" ht="15.75" thickBot="1">
      <c r="A15" s="474">
        <f>'Cost of Equity'!A53</f>
        <v>40268</v>
      </c>
      <c r="B15" s="473">
        <f>'Cost of Equity'!AQ53</f>
        <v>1.4651468311863144E-2</v>
      </c>
      <c r="C15" s="473">
        <f>'Cost of Equity'!S53</f>
        <v>7.0587656577921015E-2</v>
      </c>
      <c r="E15" s="443" t="s">
        <v>81</v>
      </c>
      <c r="F15" s="443">
        <v>67</v>
      </c>
      <c r="G15" s="443">
        <v>0.53892894348428366</v>
      </c>
      <c r="H15" s="443"/>
      <c r="I15" s="443"/>
      <c r="J15" s="443"/>
      <c r="K15" s="473"/>
      <c r="L15" s="473"/>
      <c r="M15" s="473"/>
    </row>
    <row r="16" spans="1:13" ht="15.75" thickBot="1">
      <c r="A16" s="474">
        <f>'Cost of Equity'!A54</f>
        <v>40298</v>
      </c>
      <c r="B16" s="473">
        <f>'Cost of Equity'!AQ54</f>
        <v>-8.5531653633770133E-2</v>
      </c>
      <c r="C16" s="473">
        <f>'Cost of Equity'!S54</f>
        <v>-0.12436954488599006</v>
      </c>
      <c r="E16" s="473"/>
      <c r="F16" s="473"/>
      <c r="G16" s="473"/>
      <c r="H16" s="473"/>
      <c r="I16" s="473"/>
      <c r="J16" s="473"/>
      <c r="K16" s="473"/>
      <c r="L16" s="473"/>
      <c r="M16" s="473"/>
    </row>
    <row r="17" spans="1:13">
      <c r="A17" s="474">
        <f>'Cost of Equity'!A55</f>
        <v>40329</v>
      </c>
      <c r="B17" s="473">
        <f>'Cost of Equity'!AQ55</f>
        <v>-5.5388380132376618E-2</v>
      </c>
      <c r="C17" s="473">
        <f>'Cost of Equity'!S55</f>
        <v>-2.7868107144202056E-2</v>
      </c>
      <c r="E17" s="444"/>
      <c r="F17" s="444" t="s">
        <v>361</v>
      </c>
      <c r="G17" s="444" t="s">
        <v>351</v>
      </c>
      <c r="H17" s="444" t="s">
        <v>362</v>
      </c>
      <c r="I17" s="444" t="s">
        <v>363</v>
      </c>
      <c r="J17" s="444" t="s">
        <v>364</v>
      </c>
      <c r="K17" s="444" t="s">
        <v>365</v>
      </c>
      <c r="L17" s="444" t="s">
        <v>366</v>
      </c>
      <c r="M17" s="444" t="s">
        <v>367</v>
      </c>
    </row>
    <row r="18" spans="1:13">
      <c r="A18" s="474">
        <f>'Cost of Equity'!A56</f>
        <v>40359</v>
      </c>
      <c r="B18" s="473">
        <f>'Cost of Equity'!AQ56</f>
        <v>6.6515783274589638E-2</v>
      </c>
      <c r="C18" s="473">
        <f>'Cost of Equity'!S56</f>
        <v>0.13892228391812184</v>
      </c>
      <c r="E18" s="442" t="s">
        <v>368</v>
      </c>
      <c r="F18" s="442">
        <v>-8.5843416949421165E-3</v>
      </c>
      <c r="G18" s="442">
        <v>8.6353209716844744E-3</v>
      </c>
      <c r="H18" s="442">
        <v>-0.99409642364082118</v>
      </c>
      <c r="I18" s="442">
        <v>0.32380665649920071</v>
      </c>
      <c r="J18" s="442">
        <v>-2.5825316293240044E-2</v>
      </c>
      <c r="K18" s="442">
        <v>8.6566329033558112E-3</v>
      </c>
      <c r="L18" s="442">
        <v>-2.5825316293240044E-2</v>
      </c>
      <c r="M18" s="442">
        <v>8.6566329033558112E-3</v>
      </c>
    </row>
    <row r="19" spans="1:13" ht="15.75" thickBot="1">
      <c r="A19" s="474">
        <f>'Cost of Equity'!A57</f>
        <v>40389</v>
      </c>
      <c r="B19" s="473">
        <f>'Cost of Equity'!AQ57</f>
        <v>-4.8611803170382606E-2</v>
      </c>
      <c r="C19" s="473">
        <f>'Cost of Equity'!S57</f>
        <v>-0.10972860069121915</v>
      </c>
      <c r="E19" s="443" t="s">
        <v>369</v>
      </c>
      <c r="F19" s="443">
        <v>1.5427995893850872</v>
      </c>
      <c r="G19" s="443">
        <v>0.20856299034966061</v>
      </c>
      <c r="H19" s="443">
        <v>7.3972836062551099</v>
      </c>
      <c r="I19" s="443">
        <v>3.1710342472932621E-10</v>
      </c>
      <c r="J19" s="443">
        <v>1.1263901437426604</v>
      </c>
      <c r="K19" s="443">
        <v>1.959209035027514</v>
      </c>
      <c r="L19" s="443">
        <v>1.1263901437426604</v>
      </c>
      <c r="M19" s="443">
        <v>1.959209035027514</v>
      </c>
    </row>
    <row r="20" spans="1:13">
      <c r="A20" s="474">
        <f>'Cost of Equity'!A58</f>
        <v>40421</v>
      </c>
      <c r="B20" s="473">
        <f>'Cost of Equity'!AQ58</f>
        <v>8.3928475095282604E-2</v>
      </c>
      <c r="C20" s="473">
        <f>'Cost of Equity'!S58</f>
        <v>0.16129485454040821</v>
      </c>
    </row>
    <row r="21" spans="1:13">
      <c r="A21" s="474">
        <f>'Cost of Equity'!A59</f>
        <v>40451</v>
      </c>
      <c r="B21" s="473">
        <f>'Cost of Equity'!AQ59</f>
        <v>3.6193000710687595E-2</v>
      </c>
      <c r="C21" s="473">
        <f>'Cost of Equity'!S59</f>
        <v>6.2406395570672957E-2</v>
      </c>
    </row>
    <row r="22" spans="1:13">
      <c r="A22" s="474">
        <f>'Cost of Equity'!A60</f>
        <v>40480</v>
      </c>
      <c r="B22" s="473">
        <f>'Cost of Equity'!AQ60</f>
        <v>-2.2929094870601432E-3</v>
      </c>
      <c r="C22" s="473">
        <f>'Cost of Equity'!S60</f>
        <v>5.1766598963187922E-2</v>
      </c>
    </row>
    <row r="23" spans="1:13">
      <c r="A23" s="474">
        <f>'Cost of Equity'!A61</f>
        <v>40512</v>
      </c>
      <c r="B23" s="473">
        <f>'Cost of Equity'!AQ61</f>
        <v>6.3256517221926059E-2</v>
      </c>
      <c r="C23" s="473">
        <f>'Cost of Equity'!S61</f>
        <v>6.7810167911737315E-2</v>
      </c>
    </row>
    <row r="24" spans="1:13">
      <c r="A24" s="474">
        <f>'Cost of Equity'!A62</f>
        <v>40542</v>
      </c>
      <c r="B24" s="473">
        <f>'Cost of Equity'!AQ62</f>
        <v>2.239298525651701E-2</v>
      </c>
      <c r="C24" s="473">
        <f>'Cost of Equity'!S62</f>
        <v>-1.5187326803226769E-2</v>
      </c>
    </row>
    <row r="25" spans="1:13">
      <c r="A25" s="474">
        <f>'Cost of Equity'!A63</f>
        <v>40574</v>
      </c>
      <c r="B25" s="473">
        <f>'Cost of Equity'!AQ63</f>
        <v>3.1456595040144836E-2</v>
      </c>
      <c r="C25" s="473">
        <f>'Cost of Equity'!S63</f>
        <v>-0.11720113995999863</v>
      </c>
    </row>
    <row r="26" spans="1:13">
      <c r="A26" s="474">
        <f>'Cost of Equity'!A64</f>
        <v>40602</v>
      </c>
      <c r="B26" s="473">
        <f>'Cost of Equity'!AQ64</f>
        <v>-1.0478506829378123E-3</v>
      </c>
      <c r="C26" s="473">
        <f>'Cost of Equity'!S64</f>
        <v>4.3417744222859482E-2</v>
      </c>
    </row>
    <row r="27" spans="1:13">
      <c r="A27" s="474">
        <f>'Cost of Equity'!A65</f>
        <v>40633</v>
      </c>
      <c r="B27" s="473">
        <f>'Cost of Equity'!AQ65</f>
        <v>2.809691636712916E-2</v>
      </c>
      <c r="C27" s="473">
        <f>'Cost of Equity'!S65</f>
        <v>1.4063952682568982E-2</v>
      </c>
    </row>
    <row r="28" spans="1:13">
      <c r="A28" s="474">
        <f>'Cost of Equity'!A66</f>
        <v>40662</v>
      </c>
      <c r="B28" s="473">
        <f>'Cost of Equity'!AQ66</f>
        <v>-1.3592893899637262E-2</v>
      </c>
      <c r="C28" s="473">
        <f>'Cost of Equity'!S66</f>
        <v>-5.800082695999214E-2</v>
      </c>
    </row>
    <row r="29" spans="1:13">
      <c r="A29" s="474">
        <f>'Cost of Equity'!A67</f>
        <v>40694</v>
      </c>
      <c r="B29" s="473">
        <f>'Cost of Equity'!AQ67</f>
        <v>-1.8426233301897538E-2</v>
      </c>
      <c r="C29" s="473">
        <f>'Cost of Equity'!S67</f>
        <v>2.1364238668299788E-2</v>
      </c>
    </row>
    <row r="30" spans="1:13">
      <c r="A30" s="474">
        <f>'Cost of Equity'!A68</f>
        <v>40724</v>
      </c>
      <c r="B30" s="473">
        <f>'Cost of Equity'!AQ68</f>
        <v>-2.1708367435427242E-2</v>
      </c>
      <c r="C30" s="473">
        <f>'Cost of Equity'!S68</f>
        <v>-0.17677472454063173</v>
      </c>
    </row>
    <row r="31" spans="1:13">
      <c r="A31" s="474">
        <f>'Cost of Equity'!A69</f>
        <v>40753</v>
      </c>
      <c r="B31" s="473">
        <f>'Cost of Equity'!AQ69</f>
        <v>-5.8467491619120418E-2</v>
      </c>
      <c r="C31" s="473">
        <f>'Cost of Equity'!S69</f>
        <v>-0.12449558502966511</v>
      </c>
    </row>
    <row r="32" spans="1:13">
      <c r="A32" s="474">
        <f>'Cost of Equity'!A70</f>
        <v>40786</v>
      </c>
      <c r="B32" s="473">
        <f>'Cost of Equity'!AQ70</f>
        <v>-7.4467127542783104E-2</v>
      </c>
      <c r="C32" s="473">
        <f>'Cost of Equity'!S70</f>
        <v>-0.10674959092495645</v>
      </c>
    </row>
    <row r="33" spans="1:3">
      <c r="A33" s="474">
        <f>'Cost of Equity'!A71</f>
        <v>40816</v>
      </c>
      <c r="B33" s="473">
        <f>'Cost of Equity'!AQ71</f>
        <v>0.10230659165059017</v>
      </c>
      <c r="C33" s="473">
        <f>'Cost of Equity'!S71</f>
        <v>0.24568121496849937</v>
      </c>
    </row>
    <row r="34" spans="1:3">
      <c r="A34" s="474">
        <f>'Cost of Equity'!A72</f>
        <v>40847</v>
      </c>
      <c r="B34" s="473">
        <f>'Cost of Equity'!AQ72</f>
        <v>-5.0714834366809821E-3</v>
      </c>
      <c r="C34" s="473">
        <f>'Cost of Equity'!S72</f>
        <v>-5.9590334720215132E-2</v>
      </c>
    </row>
    <row r="35" spans="1:3">
      <c r="A35" s="474">
        <f>'Cost of Equity'!A73</f>
        <v>40877</v>
      </c>
      <c r="B35" s="473">
        <f>'Cost of Equity'!AQ73</f>
        <v>8.4965534941463527E-3</v>
      </c>
      <c r="C35" s="473">
        <f>'Cost of Equity'!S73</f>
        <v>-6.0507166874750724E-2</v>
      </c>
    </row>
    <row r="36" spans="1:3">
      <c r="A36" s="474">
        <f>'Cost of Equity'!A74</f>
        <v>40907</v>
      </c>
      <c r="B36" s="473">
        <f>'Cost of Equity'!AQ74</f>
        <v>4.2659999011137491E-2</v>
      </c>
      <c r="C36" s="473">
        <f>'Cost of Equity'!S74</f>
        <v>0.16491793687543535</v>
      </c>
    </row>
    <row r="37" spans="1:3">
      <c r="A37" s="474">
        <f>'Cost of Equity'!A75</f>
        <v>40939</v>
      </c>
      <c r="B37" s="473">
        <f>'Cost of Equity'!AQ75</f>
        <v>3.9787331386417914E-2</v>
      </c>
      <c r="C37" s="473">
        <f>'Cost of Equity'!S75</f>
        <v>4.4225973770064299E-2</v>
      </c>
    </row>
    <row r="38" spans="1:3">
      <c r="A38" s="474">
        <f>'Cost of Equity'!A76</f>
        <v>40968</v>
      </c>
      <c r="B38" s="473">
        <f>'Cost of Equity'!AQ76</f>
        <v>3.0851535762571346E-2</v>
      </c>
      <c r="C38" s="473">
        <f>'Cost of Equity'!S76</f>
        <v>1.7729043697199687E-2</v>
      </c>
    </row>
    <row r="39" spans="1:3">
      <c r="A39" s="474">
        <f>'Cost of Equity'!A77</f>
        <v>40998</v>
      </c>
      <c r="B39" s="473">
        <f>'Cost of Equity'!AQ77</f>
        <v>-7.5257447960486246E-3</v>
      </c>
      <c r="C39" s="473">
        <f>'Cost of Equity'!S77</f>
        <v>-8.6658375849380326E-2</v>
      </c>
    </row>
    <row r="40" spans="1:3">
      <c r="A40" s="474">
        <f>'Cost of Equity'!A78</f>
        <v>41029</v>
      </c>
      <c r="B40" s="473">
        <f>'Cost of Equity'!AQ78</f>
        <v>-6.4699250170469236E-2</v>
      </c>
      <c r="C40" s="473">
        <f>'Cost of Equity'!S78</f>
        <v>-0.12884332545710867</v>
      </c>
    </row>
    <row r="41" spans="1:3">
      <c r="A41" s="474">
        <f>'Cost of Equity'!A79</f>
        <v>41060</v>
      </c>
      <c r="B41" s="473">
        <f>'Cost of Equity'!AQ79</f>
        <v>3.8792661243837456E-2</v>
      </c>
      <c r="C41" s="473">
        <f>'Cost of Equity'!S79</f>
        <v>4.2260568666887433E-2</v>
      </c>
    </row>
    <row r="42" spans="1:3">
      <c r="A42" s="474">
        <f>'Cost of Equity'!A80</f>
        <v>41089</v>
      </c>
      <c r="B42" s="473">
        <f>'Cost of Equity'!AQ80</f>
        <v>1.2518948972710817E-2</v>
      </c>
      <c r="C42" s="473">
        <f>'Cost of Equity'!S80</f>
        <v>2.0425843899391786E-2</v>
      </c>
    </row>
    <row r="43" spans="1:3">
      <c r="A43" s="474">
        <f>'Cost of Equity'!A81</f>
        <v>41121</v>
      </c>
      <c r="B43" s="473">
        <f>'Cost of Equity'!AQ81</f>
        <v>1.9570602004381984E-2</v>
      </c>
      <c r="C43" s="473">
        <f>'Cost of Equity'!S81</f>
        <v>2.2718551111536949E-3</v>
      </c>
    </row>
    <row r="44" spans="1:3">
      <c r="A44" s="474">
        <f>'Cost of Equity'!A82</f>
        <v>41152</v>
      </c>
      <c r="B44" s="473">
        <f>'Cost of Equity'!AQ82</f>
        <v>2.394705705020073E-2</v>
      </c>
      <c r="C44" s="473">
        <f>'Cost of Equity'!S82</f>
        <v>2.7913149331210019E-3</v>
      </c>
    </row>
    <row r="45" spans="1:3">
      <c r="A45" s="474">
        <f>'Cost of Equity'!A83</f>
        <v>41180</v>
      </c>
      <c r="B45" s="473">
        <f>'Cost of Equity'!AQ83</f>
        <v>-1.9987836058499683E-2</v>
      </c>
      <c r="C45" s="473">
        <f>'Cost of Equity'!S83</f>
        <v>8.0306057765343469E-2</v>
      </c>
    </row>
    <row r="46" spans="1:3">
      <c r="A46" s="474">
        <f>'Cost of Equity'!A84</f>
        <v>41213</v>
      </c>
      <c r="B46" s="473">
        <f>'Cost of Equity'!AQ84</f>
        <v>2.8426587376603443E-3</v>
      </c>
      <c r="C46" s="473">
        <f>'Cost of Equity'!S84</f>
        <v>1.7663309119026568E-2</v>
      </c>
    </row>
    <row r="47" spans="1:3">
      <c r="A47" s="474">
        <f>'Cost of Equity'!A85</f>
        <v>41243</v>
      </c>
      <c r="B47" s="473">
        <f>'Cost of Equity'!AQ85</f>
        <v>7.0434471114575181E-3</v>
      </c>
      <c r="C47" s="473">
        <f>'Cost of Equity'!S85</f>
        <v>2.8282343753982246E-2</v>
      </c>
    </row>
    <row r="48" spans="1:3">
      <c r="A48" s="474">
        <f>'Cost of Equity'!A86</f>
        <v>41271</v>
      </c>
      <c r="B48" s="473">
        <f>'Cost of Equity'!AQ86</f>
        <v>4.9197760692578335E-2</v>
      </c>
      <c r="C48" s="473">
        <f>'Cost of Equity'!S86</f>
        <v>4.001869453383379E-2</v>
      </c>
    </row>
    <row r="49" spans="1:3">
      <c r="A49" s="474">
        <f>'Cost of Equity'!A87</f>
        <v>41305</v>
      </c>
      <c r="B49" s="473">
        <f>'Cost of Equity'!AQ87</f>
        <v>1.0999881888155871E-2</v>
      </c>
      <c r="C49" s="473">
        <f>'Cost of Equity'!S87</f>
        <v>1.2264917970949935E-2</v>
      </c>
    </row>
    <row r="50" spans="1:3">
      <c r="A50" s="474">
        <f>'Cost of Equity'!A88</f>
        <v>41333</v>
      </c>
      <c r="B50" s="473">
        <f>'Cost of Equity'!AQ88</f>
        <v>3.535536713008354E-2</v>
      </c>
      <c r="C50" s="473">
        <f>'Cost of Equity'!S88</f>
        <v>6.345054147545176E-2</v>
      </c>
    </row>
    <row r="51" spans="1:3">
      <c r="A51" s="474">
        <f>'Cost of Equity'!A89</f>
        <v>41361</v>
      </c>
      <c r="B51" s="473">
        <f>'Cost of Equity'!AQ89</f>
        <v>1.7924162116924588E-2</v>
      </c>
      <c r="C51" s="473">
        <f>'Cost of Equity'!S89</f>
        <v>-1.5665324113230808E-2</v>
      </c>
    </row>
    <row r="52" spans="1:3">
      <c r="A52" s="474">
        <f>'Cost of Equity'!A90</f>
        <v>41394</v>
      </c>
      <c r="B52" s="473">
        <f>'Cost of Equity'!AQ90</f>
        <v>2.0550174751576469E-2</v>
      </c>
      <c r="C52" s="473">
        <f>'Cost of Equity'!S90</f>
        <v>7.7542519661081222E-2</v>
      </c>
    </row>
    <row r="53" spans="1:3">
      <c r="A53" s="474">
        <f>'Cost of Equity'!A91</f>
        <v>41425</v>
      </c>
      <c r="B53" s="473">
        <f>'Cost of Equity'!AQ91</f>
        <v>-1.5112952997701294E-2</v>
      </c>
      <c r="C53" s="473">
        <f>'Cost of Equity'!S91</f>
        <v>1.0605417163304168E-3</v>
      </c>
    </row>
    <row r="54" spans="1:3">
      <c r="A54" s="474">
        <f>'Cost of Equity'!A92</f>
        <v>41453</v>
      </c>
      <c r="B54" s="473">
        <f>'Cost of Equity'!AQ92</f>
        <v>4.8277757876973679E-2</v>
      </c>
      <c r="C54" s="473">
        <f>'Cost of Equity'!S92</f>
        <v>4.7465108405145368E-2</v>
      </c>
    </row>
    <row r="55" spans="1:3">
      <c r="A55" s="474">
        <f>'Cost of Equity'!A93</f>
        <v>41486</v>
      </c>
      <c r="B55" s="473">
        <f>'Cost of Equity'!AQ93</f>
        <v>-3.179826168331884E-2</v>
      </c>
      <c r="C55" s="473">
        <f>'Cost of Equity'!S93</f>
        <v>-4.496240405726018E-2</v>
      </c>
    </row>
    <row r="56" spans="1:3">
      <c r="A56" s="474">
        <f>'Cost of Equity'!A94</f>
        <v>41516</v>
      </c>
      <c r="B56" s="473">
        <f>'Cost of Equity'!AQ94</f>
        <v>2.9315544388002535E-2</v>
      </c>
      <c r="C56" s="473">
        <f>'Cost of Equity'!S94</f>
        <v>3.7361815239088818E-2</v>
      </c>
    </row>
    <row r="57" spans="1:3">
      <c r="A57" s="474">
        <f>'Cost of Equity'!A95</f>
        <v>41547</v>
      </c>
      <c r="B57" s="473">
        <f>'Cost of Equity'!AQ95</f>
        <v>4.3629977912082465E-2</v>
      </c>
      <c r="C57" s="473">
        <f>'Cost of Equity'!S95</f>
        <v>-1.2148273172463973E-3</v>
      </c>
    </row>
    <row r="58" spans="1:3">
      <c r="A58" s="474">
        <f>'Cost of Equity'!A96</f>
        <v>41578</v>
      </c>
      <c r="B58" s="473">
        <f>'Cost of Equity'!AQ96</f>
        <v>2.7663279564206007E-2</v>
      </c>
      <c r="C58" s="473">
        <f>'Cost of Equity'!S96</f>
        <v>3.3714790770091048E-2</v>
      </c>
    </row>
    <row r="59" spans="1:3">
      <c r="A59" s="474">
        <f>'Cost of Equity'!A97</f>
        <v>41607</v>
      </c>
      <c r="B59" s="473">
        <f>'Cost of Equity'!AQ97</f>
        <v>2.328951485450324E-2</v>
      </c>
      <c r="C59" s="473">
        <f>'Cost of Equity'!S97</f>
        <v>4.7628356599342787E-2</v>
      </c>
    </row>
    <row r="60" spans="1:3">
      <c r="A60" s="474">
        <f>'Cost of Equity'!A98</f>
        <v>41638</v>
      </c>
      <c r="B60" s="473">
        <f>'Cost of Equity'!AQ98</f>
        <v>-3.6231396526946812E-2</v>
      </c>
      <c r="C60" s="473">
        <f>'Cost of Equity'!S98</f>
        <v>-5.5224439741488725E-2</v>
      </c>
    </row>
    <row r="61" spans="1:3">
      <c r="A61" s="474">
        <f>'Cost of Equity'!A99</f>
        <v>41670</v>
      </c>
      <c r="B61" s="473">
        <f>'Cost of Equity'!AQ99</f>
        <v>4.2213382157548759E-2</v>
      </c>
      <c r="C61" s="473">
        <f>'Cost of Equity'!S99</f>
        <v>0.16523949982074826</v>
      </c>
    </row>
    <row r="62" spans="1:3">
      <c r="A62" s="474">
        <f>'Cost of Equity'!A100</f>
        <v>41698</v>
      </c>
      <c r="B62" s="473">
        <f>'Cost of Equity'!AQ100</f>
        <v>6.9082404225633224E-3</v>
      </c>
      <c r="C62" s="473">
        <f>'Cost of Equity'!S100</f>
        <v>2.3858689589383565E-2</v>
      </c>
    </row>
    <row r="63" spans="1:3">
      <c r="A63" s="474">
        <f>'Cost of Equity'!A101</f>
        <v>41729</v>
      </c>
      <c r="B63" s="473">
        <f>'Cost of Equity'!AQ101</f>
        <v>6.1816510284721333E-3</v>
      </c>
      <c r="C63" s="473">
        <f>'Cost of Equity'!S101</f>
        <v>-5.270323831041647E-2</v>
      </c>
    </row>
    <row r="64" spans="1:3">
      <c r="A64" s="474">
        <f>'Cost of Equity'!A102</f>
        <v>41759</v>
      </c>
      <c r="B64" s="473">
        <f>'Cost of Equity'!AQ102</f>
        <v>2.0812198017934665E-2</v>
      </c>
      <c r="C64" s="473">
        <f>'Cost of Equity'!S102</f>
        <v>-6.2782374739692439E-3</v>
      </c>
    </row>
    <row r="65" spans="1:3">
      <c r="A65" s="474">
        <f>'Cost of Equity'!A103</f>
        <v>41789</v>
      </c>
      <c r="B65" s="473">
        <f>'Cost of Equity'!AQ103</f>
        <v>1.8878978754786419E-2</v>
      </c>
      <c r="C65" s="473">
        <f>'Cost of Equity'!S103</f>
        <v>-8.5577221634602647E-3</v>
      </c>
    </row>
    <row r="66" spans="1:3">
      <c r="A66" s="474">
        <f>'Cost of Equity'!A104</f>
        <v>41820</v>
      </c>
      <c r="B66" s="473">
        <f>'Cost of Equity'!AQ104</f>
        <v>-1.5194720363435775E-2</v>
      </c>
      <c r="C66" s="473">
        <f>'Cost of Equity'!S104</f>
        <v>-9.1148710962154263E-3</v>
      </c>
    </row>
    <row r="67" spans="1:3">
      <c r="A67" s="474">
        <f>'Cost of Equity'!A105</f>
        <v>41851</v>
      </c>
      <c r="B67" s="473">
        <f>'Cost of Equity'!AQ105</f>
        <v>3.6963669606978507E-2</v>
      </c>
      <c r="C67" s="473">
        <f>'Cost of Equity'!S105</f>
        <v>1.2114873826886263E-2</v>
      </c>
    </row>
    <row r="68" spans="1:3">
      <c r="A68" s="474">
        <f>'Cost of Equity'!A106</f>
        <v>41880</v>
      </c>
      <c r="B68" s="473">
        <f>'Cost of Equity'!AQ106</f>
        <v>-1.563545834824645E-2</v>
      </c>
      <c r="C68" s="473">
        <f>'Cost of Equity'!S106</f>
        <v>-9.9267449769840629E-2</v>
      </c>
    </row>
    <row r="69" spans="1:3">
      <c r="A69" s="474">
        <f>'Cost of Equity'!A107</f>
        <v>41912</v>
      </c>
      <c r="B69" s="473">
        <f>'Cost of Equity'!AQ107</f>
        <v>-1.3337103869609681E-2</v>
      </c>
      <c r="C69" s="473">
        <f>'Cost of Equity'!S107</f>
        <v>-1.1989058504249733E-2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252D39"/>
    <pageSetUpPr fitToPage="1"/>
  </sheetPr>
  <dimension ref="A1:N33"/>
  <sheetViews>
    <sheetView view="pageBreakPreview" zoomScale="60" zoomScaleNormal="100" workbookViewId="0">
      <selection activeCell="H26" sqref="H26"/>
    </sheetView>
  </sheetViews>
  <sheetFormatPr defaultColWidth="8.85546875" defaultRowHeight="15"/>
  <cols>
    <col min="1" max="1" width="8.28515625" style="28" customWidth="1"/>
    <col min="2" max="2" width="42" style="28" bestFit="1" customWidth="1"/>
    <col min="3" max="3" width="18.7109375" style="28" bestFit="1" customWidth="1"/>
    <col min="4" max="5" width="16.28515625" style="28" customWidth="1"/>
    <col min="6" max="6" width="17.85546875" style="28" bestFit="1" customWidth="1"/>
    <col min="7" max="7" width="18.7109375" style="28" bestFit="1" customWidth="1"/>
    <col min="8" max="8" width="17.85546875" style="28" bestFit="1" customWidth="1"/>
    <col min="9" max="9" width="8.85546875" style="28"/>
    <col min="10" max="10" width="38.28515625" style="28" customWidth="1"/>
    <col min="11" max="11" width="26.7109375" style="28" bestFit="1" customWidth="1"/>
    <col min="12" max="12" width="18.42578125" style="28" bestFit="1" customWidth="1"/>
    <col min="13" max="13" width="20.85546875" style="28" bestFit="1" customWidth="1"/>
    <col min="14" max="14" width="17.42578125" style="28" bestFit="1" customWidth="1"/>
    <col min="15" max="15" width="8.85546875" style="28"/>
    <col min="16" max="16" width="23.140625" style="28" bestFit="1" customWidth="1"/>
    <col min="17" max="16384" width="8.85546875" style="28"/>
  </cols>
  <sheetData>
    <row r="1" spans="1:13" ht="27.75" customHeight="1">
      <c r="A1" s="177"/>
      <c r="B1" s="177"/>
      <c r="C1" s="604" t="s">
        <v>22</v>
      </c>
      <c r="D1" s="547"/>
      <c r="E1" s="547"/>
      <c r="F1" s="547"/>
      <c r="G1" s="547"/>
      <c r="H1" s="547"/>
      <c r="J1" s="556" t="s">
        <v>25</v>
      </c>
      <c r="K1" s="556"/>
      <c r="L1" s="556"/>
      <c r="M1" s="556"/>
    </row>
    <row r="2" spans="1:13">
      <c r="A2" s="185"/>
      <c r="B2" s="186"/>
      <c r="C2" s="187" t="s">
        <v>574</v>
      </c>
      <c r="D2" s="188" t="s">
        <v>19</v>
      </c>
      <c r="E2" s="188" t="s">
        <v>575</v>
      </c>
      <c r="F2" s="188" t="s">
        <v>16</v>
      </c>
      <c r="G2" s="188" t="s">
        <v>576</v>
      </c>
      <c r="H2" s="188" t="s">
        <v>577</v>
      </c>
      <c r="J2" s="186"/>
      <c r="K2" s="189" t="s">
        <v>23</v>
      </c>
      <c r="L2" s="190" t="s">
        <v>24</v>
      </c>
      <c r="M2" s="190" t="s">
        <v>38</v>
      </c>
    </row>
    <row r="3" spans="1:13" ht="15" customHeight="1">
      <c r="A3" s="557" t="s">
        <v>33</v>
      </c>
      <c r="B3" s="28" t="s">
        <v>23</v>
      </c>
      <c r="C3" s="15">
        <f>K3</f>
        <v>1.2199999999999999E-3</v>
      </c>
      <c r="D3" s="15">
        <f>K4</f>
        <v>0</v>
      </c>
      <c r="E3" s="15">
        <f>K5</f>
        <v>2E-3</v>
      </c>
      <c r="F3" s="15">
        <f>K6</f>
        <v>1.5E-3</v>
      </c>
      <c r="G3" s="15">
        <f>K7</f>
        <v>0.158</v>
      </c>
      <c r="H3" s="15">
        <f>K8</f>
        <v>0.05</v>
      </c>
      <c r="J3" s="227" t="s">
        <v>574</v>
      </c>
      <c r="K3" s="228">
        <v>1.2199999999999999E-3</v>
      </c>
      <c r="L3" s="228">
        <v>0.26500000000000001</v>
      </c>
      <c r="M3" s="228">
        <v>0</v>
      </c>
    </row>
    <row r="4" spans="1:13" ht="15" customHeight="1">
      <c r="A4" s="557"/>
      <c r="B4" s="28" t="s">
        <v>26</v>
      </c>
      <c r="C4" s="555">
        <v>9.4999999999999998E-3</v>
      </c>
      <c r="D4" s="555"/>
      <c r="E4" s="555"/>
      <c r="F4" s="555"/>
      <c r="G4" s="555"/>
      <c r="H4" s="555"/>
      <c r="J4" s="227" t="s">
        <v>19</v>
      </c>
      <c r="K4" s="228">
        <f>0</f>
        <v>0</v>
      </c>
      <c r="L4" s="228">
        <v>0.4</v>
      </c>
      <c r="M4" s="228">
        <v>0</v>
      </c>
    </row>
    <row r="5" spans="1:13">
      <c r="A5" s="557"/>
      <c r="B5" s="28" t="s">
        <v>24</v>
      </c>
      <c r="C5" s="15">
        <f>L3</f>
        <v>0.26500000000000001</v>
      </c>
      <c r="D5" s="15">
        <f>L4</f>
        <v>0.4</v>
      </c>
      <c r="E5" s="15">
        <f>L5</f>
        <v>0.2</v>
      </c>
      <c r="F5" s="15">
        <f>L6</f>
        <v>0.216</v>
      </c>
      <c r="G5" s="15">
        <f>L7</f>
        <v>0.2661</v>
      </c>
      <c r="H5" s="15">
        <f>L8</f>
        <v>0.21909999999999999</v>
      </c>
      <c r="J5" s="227" t="s">
        <v>584</v>
      </c>
      <c r="K5" s="228">
        <f>0.002</f>
        <v>2E-3</v>
      </c>
      <c r="L5" s="228">
        <v>0.2</v>
      </c>
      <c r="M5" s="228">
        <v>0</v>
      </c>
    </row>
    <row r="6" spans="1:13" ht="14.25" customHeight="1">
      <c r="A6" s="557"/>
      <c r="B6" s="227" t="s">
        <v>32</v>
      </c>
      <c r="C6" s="561">
        <f>'Cost of Debt'!O9</f>
        <v>0.06</v>
      </c>
      <c r="D6" s="561"/>
      <c r="E6" s="561"/>
      <c r="F6" s="561"/>
      <c r="G6" s="561"/>
      <c r="H6" s="561"/>
      <c r="J6" s="227" t="s">
        <v>585</v>
      </c>
      <c r="K6" s="228">
        <f>0.0015</f>
        <v>1.5E-3</v>
      </c>
      <c r="L6" s="228">
        <v>0.216</v>
      </c>
      <c r="M6" s="228">
        <v>1.1299999999999999E-2</v>
      </c>
    </row>
    <row r="7" spans="1:13" ht="20.25" customHeight="1">
      <c r="A7" s="558" t="s">
        <v>34</v>
      </c>
      <c r="B7" s="26" t="s">
        <v>583</v>
      </c>
      <c r="C7" s="555">
        <v>5.7500000000000002E-2</v>
      </c>
      <c r="D7" s="555"/>
      <c r="E7" s="555"/>
      <c r="F7" s="555"/>
      <c r="G7" s="555"/>
      <c r="H7" s="555"/>
      <c r="J7" s="227" t="s">
        <v>576</v>
      </c>
      <c r="K7" s="228">
        <v>0.158</v>
      </c>
      <c r="L7" s="228">
        <v>0.2661</v>
      </c>
      <c r="M7" s="228">
        <v>4.2000000000000003E-2</v>
      </c>
    </row>
    <row r="8" spans="1:13" ht="15" customHeight="1">
      <c r="A8" s="559"/>
      <c r="B8" s="28" t="s">
        <v>38</v>
      </c>
      <c r="C8" s="15">
        <v>0</v>
      </c>
      <c r="D8" s="15">
        <v>0</v>
      </c>
      <c r="E8" s="15">
        <v>6.0000000000000001E-3</v>
      </c>
      <c r="F8" s="15">
        <v>1.1299999999999999E-2</v>
      </c>
      <c r="G8" s="15">
        <v>4.2000000000000003E-2</v>
      </c>
      <c r="H8" s="15">
        <v>1.5100000000000001E-2</v>
      </c>
      <c r="I8" s="27"/>
      <c r="J8" s="227" t="s">
        <v>577</v>
      </c>
      <c r="K8" s="228">
        <v>0.05</v>
      </c>
      <c r="L8" s="228">
        <v>0.21909999999999999</v>
      </c>
      <c r="M8" s="228">
        <v>1.5100000000000001E-2</v>
      </c>
    </row>
    <row r="9" spans="1:13" ht="16.5" customHeight="1">
      <c r="A9" s="559"/>
      <c r="B9" s="28" t="s">
        <v>40</v>
      </c>
      <c r="C9" s="554">
        <v>0.94</v>
      </c>
      <c r="D9" s="554"/>
      <c r="E9" s="554"/>
      <c r="F9" s="554"/>
      <c r="G9" s="554"/>
      <c r="H9" s="554"/>
    </row>
    <row r="10" spans="1:13" ht="15" customHeight="1">
      <c r="A10" s="559"/>
      <c r="B10" s="227" t="s">
        <v>27</v>
      </c>
      <c r="C10" s="228">
        <f t="shared" ref="C10:H10" si="0">C3+$C$9*($C$7+C8)</f>
        <v>5.527E-2</v>
      </c>
      <c r="D10" s="228">
        <f t="shared" si="0"/>
        <v>5.4050000000000001E-2</v>
      </c>
      <c r="E10" s="228">
        <f t="shared" si="0"/>
        <v>6.1690000000000002E-2</v>
      </c>
      <c r="F10" s="228">
        <f t="shared" si="0"/>
        <v>6.6171999999999995E-2</v>
      </c>
      <c r="G10" s="228">
        <f t="shared" si="0"/>
        <v>0.25153000000000003</v>
      </c>
      <c r="H10" s="228">
        <f t="shared" si="0"/>
        <v>0.118244</v>
      </c>
      <c r="J10" s="17" t="s">
        <v>30</v>
      </c>
      <c r="K10" s="18"/>
      <c r="L10" s="18"/>
      <c r="M10" s="19"/>
    </row>
    <row r="11" spans="1:13" ht="21.75" customHeight="1">
      <c r="A11" s="560" t="s">
        <v>28</v>
      </c>
      <c r="B11" s="28" t="s">
        <v>578</v>
      </c>
      <c r="C11" s="555">
        <f>'Balance Sheet'!G57/('Balance Sheet'!G71)</f>
        <v>0.39247681209206459</v>
      </c>
      <c r="D11" s="555"/>
      <c r="E11" s="555"/>
      <c r="F11" s="555"/>
      <c r="G11" s="555"/>
      <c r="H11" s="555"/>
      <c r="J11" s="20" t="s">
        <v>31</v>
      </c>
      <c r="K11" s="21"/>
      <c r="L11" s="21"/>
      <c r="M11" s="22"/>
    </row>
    <row r="12" spans="1:13" ht="21.75" customHeight="1">
      <c r="A12" s="557"/>
      <c r="B12" s="28" t="s">
        <v>579</v>
      </c>
      <c r="C12" s="555">
        <f>'Balance Sheet'!G70/'Balance Sheet'!G71</f>
        <v>0.60752318790793547</v>
      </c>
      <c r="D12" s="555"/>
      <c r="E12" s="555"/>
      <c r="F12" s="555"/>
      <c r="G12" s="555"/>
      <c r="H12" s="555"/>
      <c r="J12" s="20" t="s">
        <v>36</v>
      </c>
      <c r="K12" s="21"/>
      <c r="L12" s="21"/>
      <c r="M12" s="22"/>
    </row>
    <row r="13" spans="1:13" ht="23.25" customHeight="1">
      <c r="A13" s="557"/>
      <c r="B13" s="227" t="s">
        <v>49</v>
      </c>
      <c r="C13" s="229">
        <f t="shared" ref="C13:H13" si="1">($C$6+$C$4)*(1-C5)*$C$11+C10*$C$12</f>
        <v>5.3626503349364474E-2</v>
      </c>
      <c r="D13" s="229">
        <f t="shared" si="1"/>
        <v>4.9202911370663002E-2</v>
      </c>
      <c r="E13" s="229">
        <f t="shared" si="1"/>
        <v>5.9299816214359327E-2</v>
      </c>
      <c r="F13" s="229">
        <f>($C$6+$C$4)*(1-F5)*$C$11+F10*$C$12</f>
        <v>6.158630092751631E-2</v>
      </c>
      <c r="G13" s="229">
        <f t="shared" si="1"/>
        <v>0.17282899935589149</v>
      </c>
      <c r="H13" s="229">
        <f t="shared" si="1"/>
        <v>9.3136689239093101E-2</v>
      </c>
      <c r="J13" s="23"/>
      <c r="K13" s="24"/>
      <c r="L13" s="24"/>
      <c r="M13" s="25"/>
    </row>
    <row r="14" spans="1:13" ht="23.25" customHeight="1">
      <c r="A14" s="557"/>
      <c r="B14" s="28" t="s">
        <v>29</v>
      </c>
      <c r="C14" s="548">
        <v>6.4000000000000001E-2</v>
      </c>
      <c r="D14" s="548">
        <v>0.23200000000000001</v>
      </c>
      <c r="E14" s="548">
        <v>8.7999999999999995E-2</v>
      </c>
      <c r="F14" s="548">
        <v>0.34200000000000003</v>
      </c>
      <c r="G14" s="548">
        <v>0.114</v>
      </c>
      <c r="H14" s="548">
        <v>0.16</v>
      </c>
    </row>
    <row r="15" spans="1:13" ht="19.5" customHeight="1">
      <c r="A15" s="220"/>
      <c r="B15" s="217" t="s">
        <v>50</v>
      </c>
      <c r="C15" s="553">
        <f>C13*C14+D13*D14+F13*F14+G13*G14+H13*H14+E13*E14</f>
        <v>7.5732446601253889E-2</v>
      </c>
      <c r="D15" s="553"/>
      <c r="E15" s="553"/>
      <c r="F15" s="553"/>
      <c r="G15" s="553"/>
      <c r="H15" s="553"/>
      <c r="J15" s="77"/>
      <c r="K15" s="78"/>
      <c r="L15" s="78"/>
      <c r="M15" s="78"/>
    </row>
    <row r="16" spans="1:13" ht="20.25" customHeight="1"/>
    <row r="17" spans="10:10" ht="18" customHeight="1"/>
    <row r="22" spans="10:10" ht="16.5" customHeight="1"/>
    <row r="23" spans="10:10" ht="18.75" customHeight="1"/>
    <row r="24" spans="10:10" ht="14.25" customHeight="1"/>
    <row r="25" spans="10:10">
      <c r="J25" s="28" t="s">
        <v>199</v>
      </c>
    </row>
    <row r="29" spans="10:10" ht="15" customHeight="1"/>
    <row r="33" spans="14:14">
      <c r="N33" s="78"/>
    </row>
  </sheetData>
  <mergeCells count="11">
    <mergeCell ref="C15:H15"/>
    <mergeCell ref="C9:H9"/>
    <mergeCell ref="C4:H4"/>
    <mergeCell ref="J1:M1"/>
    <mergeCell ref="A3:A6"/>
    <mergeCell ref="A7:A10"/>
    <mergeCell ref="C7:H7"/>
    <mergeCell ref="A11:A14"/>
    <mergeCell ref="C12:H12"/>
    <mergeCell ref="C11:H11"/>
    <mergeCell ref="C6:H6"/>
  </mergeCells>
  <pageMargins left="0.7" right="0.7" top="0.75" bottom="0.75" header="0.3" footer="0.3"/>
  <pageSetup paperSize="9" scale="84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theme="0" tint="-0.249977111117893"/>
    <pageSetUpPr fitToPage="1"/>
  </sheetPr>
  <dimension ref="A1:U63"/>
  <sheetViews>
    <sheetView showGridLines="0" zoomScale="80" zoomScaleNormal="80" zoomScalePageLayoutView="80" workbookViewId="0">
      <selection activeCell="M38" sqref="M38:Q45"/>
    </sheetView>
  </sheetViews>
  <sheetFormatPr defaultColWidth="9.140625" defaultRowHeight="14.25"/>
  <cols>
    <col min="1" max="1" width="29.7109375" style="271" customWidth="1"/>
    <col min="2" max="2" width="13.42578125" style="271" customWidth="1"/>
    <col min="3" max="3" width="14.28515625" style="271" customWidth="1"/>
    <col min="4" max="4" width="17.42578125" style="271" bestFit="1" customWidth="1"/>
    <col min="5" max="5" width="2.7109375" style="274" customWidth="1"/>
    <col min="6" max="6" width="31.28515625" style="271" bestFit="1" customWidth="1"/>
    <col min="7" max="7" width="14.42578125" style="271" customWidth="1"/>
    <col min="8" max="11" width="12.85546875" style="271" bestFit="1" customWidth="1"/>
    <col min="12" max="12" width="2.7109375" style="274" customWidth="1"/>
    <col min="13" max="13" width="31.85546875" style="271" customWidth="1"/>
    <col min="14" max="14" width="18" style="271" customWidth="1"/>
    <col min="15" max="15" width="16.42578125" style="271" customWidth="1"/>
    <col min="16" max="16" width="20.140625" style="271" customWidth="1"/>
    <col min="17" max="17" width="14.28515625" style="271" bestFit="1" customWidth="1"/>
    <col min="18" max="18" width="2.7109375" style="271" customWidth="1"/>
    <col min="19" max="16384" width="9.140625" style="271"/>
  </cols>
  <sheetData>
    <row r="1" spans="1:18" ht="15">
      <c r="A1" s="312" t="s">
        <v>219</v>
      </c>
      <c r="B1" s="313"/>
      <c r="C1" s="313"/>
      <c r="D1" s="313"/>
      <c r="E1" s="270"/>
      <c r="F1" s="312" t="s">
        <v>220</v>
      </c>
      <c r="G1" s="313"/>
      <c r="H1" s="313"/>
      <c r="I1" s="313"/>
      <c r="J1" s="313"/>
      <c r="K1" s="313"/>
      <c r="L1" s="270"/>
      <c r="M1" s="312" t="s">
        <v>221</v>
      </c>
      <c r="N1" s="313"/>
      <c r="O1" s="313"/>
      <c r="P1" s="313"/>
      <c r="Q1" s="313"/>
      <c r="R1" s="270"/>
    </row>
    <row r="2" spans="1:18" ht="15">
      <c r="A2" s="272" t="s">
        <v>222</v>
      </c>
      <c r="B2" s="272"/>
      <c r="C2" s="272"/>
      <c r="D2" s="273" t="s">
        <v>290</v>
      </c>
      <c r="E2" s="270"/>
      <c r="F2" s="274"/>
      <c r="G2" s="273">
        <v>2010</v>
      </c>
      <c r="H2" s="273">
        <v>2011</v>
      </c>
      <c r="I2" s="273">
        <v>2012</v>
      </c>
      <c r="J2" s="273">
        <v>2013</v>
      </c>
      <c r="K2" s="273" t="s">
        <v>179</v>
      </c>
      <c r="L2" s="270"/>
      <c r="N2" s="273">
        <v>2010</v>
      </c>
      <c r="O2" s="273">
        <v>2011</v>
      </c>
      <c r="P2" s="273">
        <v>2012</v>
      </c>
      <c r="Q2" s="273">
        <v>2013</v>
      </c>
      <c r="R2" s="270"/>
    </row>
    <row r="3" spans="1:18" ht="15">
      <c r="A3" s="274" t="s">
        <v>204</v>
      </c>
      <c r="B3" s="274"/>
      <c r="C3" s="274"/>
      <c r="D3" s="275" t="s">
        <v>291</v>
      </c>
      <c r="E3" s="270"/>
      <c r="F3" s="272" t="s">
        <v>224</v>
      </c>
      <c r="G3" s="276">
        <v>9820.6</v>
      </c>
      <c r="H3" s="276">
        <v>7538.5</v>
      </c>
      <c r="I3" s="276">
        <v>8141.1</v>
      </c>
      <c r="J3" s="276">
        <v>7665.1</v>
      </c>
      <c r="K3" s="276"/>
      <c r="L3" s="270"/>
      <c r="M3" s="274" t="s">
        <v>155</v>
      </c>
      <c r="N3" s="302">
        <v>59</v>
      </c>
      <c r="O3" s="302">
        <v>59.3</v>
      </c>
      <c r="P3" s="302">
        <v>57.7</v>
      </c>
      <c r="Q3" s="302">
        <v>56.6</v>
      </c>
      <c r="R3" s="270"/>
    </row>
    <row r="4" spans="1:18">
      <c r="A4" s="274" t="s">
        <v>225</v>
      </c>
      <c r="B4" s="274"/>
      <c r="C4" s="274"/>
      <c r="D4" s="275" t="s">
        <v>289</v>
      </c>
      <c r="E4" s="270"/>
      <c r="F4" s="274" t="s">
        <v>177</v>
      </c>
      <c r="G4" s="277">
        <v>7850.6</v>
      </c>
      <c r="H4" s="277">
        <v>6442.4</v>
      </c>
      <c r="I4" s="277">
        <v>7134.1</v>
      </c>
      <c r="J4" s="277">
        <v>6471</v>
      </c>
      <c r="K4" s="277"/>
      <c r="L4" s="270"/>
      <c r="M4" s="279" t="s">
        <v>227</v>
      </c>
      <c r="N4" s="292">
        <f>N3/G3</f>
        <v>6.0077795654033357E-3</v>
      </c>
      <c r="O4" s="292">
        <f t="shared" ref="O4:Q4" si="0">O3/H3</f>
        <v>7.8662863964979769E-3</v>
      </c>
      <c r="P4" s="292">
        <f t="shared" si="0"/>
        <v>7.087494318949528E-3</v>
      </c>
      <c r="Q4" s="292">
        <f t="shared" si="0"/>
        <v>7.3841176240362159E-3</v>
      </c>
      <c r="R4" s="270"/>
    </row>
    <row r="5" spans="1:18" ht="15">
      <c r="A5" s="274" t="s">
        <v>228</v>
      </c>
      <c r="B5" s="274"/>
      <c r="C5" s="274"/>
      <c r="D5" s="281">
        <v>41639</v>
      </c>
      <c r="E5" s="270"/>
      <c r="F5" s="272" t="s">
        <v>63</v>
      </c>
      <c r="G5" s="276">
        <f>G3-G4</f>
        <v>1970</v>
      </c>
      <c r="H5" s="276">
        <f t="shared" ref="H5:J5" si="1">H3-H4</f>
        <v>1096.1000000000004</v>
      </c>
      <c r="I5" s="276">
        <f t="shared" si="1"/>
        <v>1007</v>
      </c>
      <c r="J5" s="276">
        <f t="shared" si="1"/>
        <v>1194.1000000000004</v>
      </c>
      <c r="K5" s="276"/>
      <c r="L5" s="270"/>
      <c r="M5" s="274" t="s">
        <v>150</v>
      </c>
      <c r="N5" s="302">
        <v>66.3</v>
      </c>
      <c r="O5" s="302">
        <v>61.8</v>
      </c>
      <c r="P5" s="302">
        <v>49.6</v>
      </c>
      <c r="Q5" s="302">
        <v>45.7</v>
      </c>
      <c r="R5" s="270"/>
    </row>
    <row r="6" spans="1:18">
      <c r="A6" s="274" t="s">
        <v>229</v>
      </c>
      <c r="B6" s="274"/>
      <c r="C6" s="274"/>
      <c r="D6" s="275" t="s">
        <v>292</v>
      </c>
      <c r="E6" s="270"/>
      <c r="F6" s="274" t="s">
        <v>231</v>
      </c>
      <c r="G6" s="277">
        <v>483.9</v>
      </c>
      <c r="H6" s="277">
        <v>502.9</v>
      </c>
      <c r="I6" s="277">
        <v>561.29999999999995</v>
      </c>
      <c r="J6" s="277">
        <v>620.1</v>
      </c>
      <c r="K6" s="277"/>
      <c r="L6" s="270"/>
      <c r="M6" s="279" t="s">
        <v>227</v>
      </c>
      <c r="N6" s="292">
        <f>N5/G3</f>
        <v>6.7511150031566297E-3</v>
      </c>
      <c r="O6" s="292">
        <f t="shared" ref="O6:Q6" si="2">O5/H3</f>
        <v>8.1979173575645013E-3</v>
      </c>
      <c r="P6" s="292">
        <f t="shared" si="2"/>
        <v>6.0925427767746371E-3</v>
      </c>
      <c r="Q6" s="292">
        <f t="shared" si="2"/>
        <v>5.9620879049197013E-3</v>
      </c>
      <c r="R6" s="270"/>
    </row>
    <row r="7" spans="1:18">
      <c r="A7" s="274" t="s">
        <v>232</v>
      </c>
      <c r="B7" s="274"/>
      <c r="C7" s="274"/>
      <c r="D7" s="275" t="s">
        <v>293</v>
      </c>
      <c r="E7" s="270"/>
      <c r="F7" s="274" t="s">
        <v>233</v>
      </c>
      <c r="G7" s="277">
        <f>2.3+59</f>
        <v>61.3</v>
      </c>
      <c r="H7" s="277">
        <f>7.8+59.3</f>
        <v>67.099999999999994</v>
      </c>
      <c r="I7" s="277">
        <f>0.3+57.7</f>
        <v>58</v>
      </c>
      <c r="J7" s="277">
        <f>56.6+11.7</f>
        <v>68.3</v>
      </c>
      <c r="K7" s="277"/>
      <c r="L7" s="270"/>
      <c r="M7" s="274"/>
      <c r="N7" s="274"/>
      <c r="O7" s="274"/>
      <c r="P7" s="274"/>
      <c r="Q7" s="274"/>
      <c r="R7" s="270"/>
    </row>
    <row r="8" spans="1:18" ht="15">
      <c r="A8" s="274" t="s">
        <v>234</v>
      </c>
      <c r="B8" s="274"/>
      <c r="C8" s="274"/>
      <c r="D8" s="275">
        <f>'Oshkosh Regression'!F19</f>
        <v>2.5170925281098255</v>
      </c>
      <c r="E8" s="270"/>
      <c r="F8" s="272" t="s">
        <v>195</v>
      </c>
      <c r="G8" s="276">
        <f>G5-G6-G7</f>
        <v>1424.8</v>
      </c>
      <c r="H8" s="276">
        <f t="shared" ref="H8:I8" si="3">H5-H6-H7</f>
        <v>526.10000000000036</v>
      </c>
      <c r="I8" s="276">
        <f t="shared" si="3"/>
        <v>387.70000000000005</v>
      </c>
      <c r="J8" s="276">
        <f>J5-J6-J7</f>
        <v>505.70000000000033</v>
      </c>
      <c r="K8" s="276"/>
      <c r="L8" s="270"/>
      <c r="M8" s="270"/>
      <c r="N8" s="270"/>
      <c r="O8" s="270"/>
      <c r="P8" s="270"/>
      <c r="Q8" s="270"/>
      <c r="R8" s="270"/>
    </row>
    <row r="9" spans="1:18" ht="15">
      <c r="A9" s="274" t="s">
        <v>24</v>
      </c>
      <c r="B9" s="274"/>
      <c r="C9" s="274"/>
      <c r="D9" s="282">
        <v>0.33250000000000002</v>
      </c>
      <c r="E9" s="270"/>
      <c r="F9" s="274" t="s">
        <v>235</v>
      </c>
      <c r="G9" s="277">
        <v>184.1</v>
      </c>
      <c r="H9" s="277">
        <v>83.5</v>
      </c>
      <c r="I9" s="277">
        <v>78.599999999999994</v>
      </c>
      <c r="J9" s="277">
        <v>56.4</v>
      </c>
      <c r="K9" s="277"/>
      <c r="L9" s="270"/>
      <c r="M9" s="312" t="s">
        <v>236</v>
      </c>
      <c r="N9" s="313"/>
      <c r="O9" s="313"/>
      <c r="P9" s="313"/>
      <c r="Q9" s="313"/>
      <c r="R9" s="270"/>
    </row>
    <row r="10" spans="1:18" ht="15">
      <c r="A10" s="270"/>
      <c r="B10" s="270"/>
      <c r="C10" s="270"/>
      <c r="D10" s="270"/>
      <c r="E10" s="270"/>
      <c r="F10" s="274" t="s">
        <v>237</v>
      </c>
      <c r="G10" s="277">
        <v>0</v>
      </c>
      <c r="H10" s="277">
        <v>0</v>
      </c>
      <c r="I10" s="277">
        <v>0</v>
      </c>
      <c r="J10" s="277">
        <v>0</v>
      </c>
      <c r="K10" s="277"/>
      <c r="L10" s="270"/>
      <c r="M10" s="274"/>
      <c r="N10" s="274"/>
      <c r="O10" s="274"/>
      <c r="P10" s="273">
        <v>2012</v>
      </c>
      <c r="Q10" s="273">
        <v>2013</v>
      </c>
      <c r="R10" s="270"/>
    </row>
    <row r="11" spans="1:18" ht="15">
      <c r="A11" s="312" t="s">
        <v>238</v>
      </c>
      <c r="B11" s="313"/>
      <c r="C11" s="313"/>
      <c r="D11" s="313"/>
      <c r="E11" s="270"/>
      <c r="F11" s="274" t="s">
        <v>59</v>
      </c>
      <c r="G11" s="277">
        <v>421.4</v>
      </c>
      <c r="H11" s="277">
        <v>151.6</v>
      </c>
      <c r="I11" s="277">
        <v>65.2</v>
      </c>
      <c r="J11" s="277">
        <v>131.69999999999999</v>
      </c>
      <c r="K11" s="277"/>
      <c r="L11" s="270"/>
      <c r="M11" s="274" t="s">
        <v>239</v>
      </c>
      <c r="N11" s="274"/>
      <c r="O11" s="274"/>
      <c r="P11" s="288">
        <v>540.70000000000005</v>
      </c>
      <c r="Q11" s="307">
        <v>733.5</v>
      </c>
      <c r="R11" s="270"/>
    </row>
    <row r="12" spans="1:18">
      <c r="A12" s="274" t="s">
        <v>240</v>
      </c>
      <c r="B12" s="283">
        <v>41639</v>
      </c>
      <c r="C12" s="284"/>
      <c r="D12" s="284">
        <v>49.76</v>
      </c>
      <c r="E12" s="270"/>
      <c r="F12" s="274" t="s">
        <v>241</v>
      </c>
      <c r="G12" s="277">
        <v>0</v>
      </c>
      <c r="H12" s="277">
        <v>0</v>
      </c>
      <c r="I12" s="277">
        <v>0</v>
      </c>
      <c r="J12" s="277">
        <v>0</v>
      </c>
      <c r="K12" s="277"/>
      <c r="L12" s="270"/>
      <c r="M12" s="274" t="s">
        <v>242</v>
      </c>
      <c r="N12" s="274"/>
      <c r="O12" s="274"/>
      <c r="P12" s="288">
        <v>1018.6</v>
      </c>
      <c r="Q12" s="307">
        <v>794.3</v>
      </c>
      <c r="R12" s="270"/>
    </row>
    <row r="13" spans="1:18">
      <c r="A13" s="279" t="s">
        <v>243</v>
      </c>
      <c r="B13" s="274"/>
      <c r="C13" s="286"/>
      <c r="D13" s="286">
        <f>D12/D14</f>
        <v>0.94385432473444608</v>
      </c>
      <c r="E13" s="270"/>
      <c r="F13" s="274" t="s">
        <v>244</v>
      </c>
      <c r="G13" s="277">
        <v>0</v>
      </c>
      <c r="H13" s="277">
        <v>0</v>
      </c>
      <c r="I13" s="277">
        <v>0</v>
      </c>
      <c r="J13" s="277">
        <v>0</v>
      </c>
      <c r="K13" s="277"/>
      <c r="L13" s="270"/>
      <c r="M13" s="274" t="s">
        <v>105</v>
      </c>
      <c r="N13" s="274"/>
      <c r="O13" s="274"/>
      <c r="P13" s="288">
        <v>937.5</v>
      </c>
      <c r="Q13" s="307">
        <v>822</v>
      </c>
      <c r="R13" s="270"/>
    </row>
    <row r="14" spans="1:18" ht="15">
      <c r="A14" s="274" t="s">
        <v>245</v>
      </c>
      <c r="B14" s="274"/>
      <c r="C14" s="284"/>
      <c r="D14" s="284">
        <v>52.72</v>
      </c>
      <c r="E14" s="270"/>
      <c r="F14" s="272" t="s">
        <v>55</v>
      </c>
      <c r="G14" s="276">
        <f>G8-G9+G10-G11-G12-G13</f>
        <v>819.30000000000007</v>
      </c>
      <c r="H14" s="276">
        <f t="shared" ref="H14:J14" si="4">H8-H9+H10-H11-H12-H13</f>
        <v>291.00000000000034</v>
      </c>
      <c r="I14" s="276">
        <f t="shared" si="4"/>
        <v>243.90000000000003</v>
      </c>
      <c r="J14" s="276">
        <f t="shared" si="4"/>
        <v>317.60000000000036</v>
      </c>
      <c r="K14" s="276"/>
      <c r="L14" s="270"/>
      <c r="M14" s="274" t="s">
        <v>246</v>
      </c>
      <c r="N14" s="274"/>
      <c r="O14" s="274"/>
      <c r="P14" s="288">
        <f>99.7+98</f>
        <v>197.7</v>
      </c>
      <c r="Q14" s="307">
        <f>100.4+103.2</f>
        <v>203.60000000000002</v>
      </c>
      <c r="R14" s="270"/>
    </row>
    <row r="15" spans="1:18" ht="15">
      <c r="A15" s="274" t="s">
        <v>247</v>
      </c>
      <c r="B15" s="274"/>
      <c r="C15" s="284"/>
      <c r="D15" s="284">
        <v>31.1</v>
      </c>
      <c r="E15" s="270"/>
      <c r="F15" s="272"/>
      <c r="G15" s="274"/>
      <c r="H15" s="274"/>
      <c r="I15" s="274"/>
      <c r="J15" s="274"/>
      <c r="K15" s="274"/>
      <c r="L15" s="270"/>
      <c r="M15" s="272" t="s">
        <v>248</v>
      </c>
      <c r="N15" s="272"/>
      <c r="O15" s="272"/>
      <c r="P15" s="290">
        <f>SUM(P11:P14)</f>
        <v>2694.5</v>
      </c>
      <c r="Q15" s="308">
        <f>SUM(Q11:Q14)</f>
        <v>2553.4</v>
      </c>
      <c r="R15" s="270"/>
    </row>
    <row r="16" spans="1:18" ht="15">
      <c r="A16" s="274" t="s">
        <v>249</v>
      </c>
      <c r="B16" s="274"/>
      <c r="C16" s="284"/>
      <c r="D16" s="284">
        <v>0.15</v>
      </c>
      <c r="E16" s="270"/>
      <c r="F16" s="274" t="s">
        <v>250</v>
      </c>
      <c r="G16" s="277">
        <v>0</v>
      </c>
      <c r="H16" s="277">
        <v>0</v>
      </c>
      <c r="I16" s="277">
        <v>0</v>
      </c>
      <c r="J16" s="277">
        <v>0</v>
      </c>
      <c r="K16" s="277"/>
      <c r="L16" s="270"/>
      <c r="M16" s="274"/>
      <c r="N16" s="274"/>
      <c r="O16" s="274"/>
      <c r="P16" s="288"/>
      <c r="Q16" s="308"/>
      <c r="R16" s="270"/>
    </row>
    <row r="17" spans="1:18">
      <c r="A17" s="274"/>
      <c r="B17" s="274"/>
      <c r="C17" s="275"/>
      <c r="D17" s="274"/>
      <c r="E17" s="270"/>
      <c r="F17" s="274" t="s">
        <v>251</v>
      </c>
      <c r="G17" s="277">
        <v>0</v>
      </c>
      <c r="H17" s="277">
        <v>0</v>
      </c>
      <c r="I17" s="277">
        <v>0</v>
      </c>
      <c r="J17" s="277">
        <f>D18</f>
        <v>85</v>
      </c>
      <c r="K17" s="277"/>
      <c r="L17" s="270"/>
      <c r="M17" s="274" t="s">
        <v>252</v>
      </c>
      <c r="N17" s="274"/>
      <c r="O17" s="274"/>
      <c r="P17" s="288">
        <v>369.9</v>
      </c>
      <c r="Q17" s="307">
        <v>362.2</v>
      </c>
      <c r="R17" s="270"/>
    </row>
    <row r="18" spans="1:18">
      <c r="A18" s="274" t="s">
        <v>253</v>
      </c>
      <c r="B18" s="274"/>
      <c r="C18" s="274"/>
      <c r="D18" s="309">
        <v>85</v>
      </c>
      <c r="E18" s="270"/>
      <c r="F18" s="274" t="s">
        <v>254</v>
      </c>
      <c r="G18" s="277">
        <v>0</v>
      </c>
      <c r="H18" s="277">
        <v>0</v>
      </c>
      <c r="I18" s="277">
        <v>0</v>
      </c>
      <c r="J18" s="277">
        <f>J14/J17</f>
        <v>3.7364705882352984</v>
      </c>
      <c r="K18" s="277"/>
      <c r="L18" s="270"/>
      <c r="M18" s="274" t="s">
        <v>255</v>
      </c>
      <c r="N18" s="274"/>
      <c r="O18" s="274"/>
      <c r="P18" s="288">
        <v>1033.8</v>
      </c>
      <c r="Q18" s="307">
        <v>1041</v>
      </c>
      <c r="R18" s="270"/>
    </row>
    <row r="19" spans="1:18" ht="15">
      <c r="A19" s="272" t="s">
        <v>256</v>
      </c>
      <c r="B19" s="274"/>
      <c r="C19" s="289"/>
      <c r="D19" s="276">
        <f>D12*D18</f>
        <v>4229.5999999999995</v>
      </c>
      <c r="E19" s="270"/>
      <c r="F19" s="274"/>
      <c r="G19" s="274"/>
      <c r="H19" s="274"/>
      <c r="I19" s="274"/>
      <c r="J19" s="291"/>
      <c r="K19" s="291"/>
      <c r="L19" s="270"/>
      <c r="M19" s="274" t="s">
        <v>257</v>
      </c>
      <c r="N19" s="274"/>
      <c r="O19" s="274"/>
      <c r="P19" s="288">
        <f>775.4+18.8+12.8+42.6</f>
        <v>849.59999999999991</v>
      </c>
      <c r="Q19" s="307">
        <f>714.7+20.9+11.6+61.9</f>
        <v>809.1</v>
      </c>
      <c r="R19" s="270"/>
    </row>
    <row r="20" spans="1:18" ht="15">
      <c r="A20" s="274" t="s">
        <v>258</v>
      </c>
      <c r="B20" s="274"/>
      <c r="C20" s="284"/>
      <c r="D20" s="277">
        <f>Q29</f>
        <v>2657.8999999999996</v>
      </c>
      <c r="E20" s="270"/>
      <c r="F20" s="270"/>
      <c r="G20" s="270"/>
      <c r="H20" s="270"/>
      <c r="I20" s="270"/>
      <c r="J20" s="270"/>
      <c r="K20" s="270"/>
      <c r="L20" s="270"/>
      <c r="M20" s="272" t="s">
        <v>97</v>
      </c>
      <c r="N20" s="272"/>
      <c r="O20" s="272"/>
      <c r="P20" s="290">
        <f>P15+P17+P18+P19</f>
        <v>4947.7999999999993</v>
      </c>
      <c r="Q20" s="308">
        <f>Q16+Q17+Q18+Q19+Q15</f>
        <v>4765.7000000000007</v>
      </c>
      <c r="R20" s="270"/>
    </row>
    <row r="21" spans="1:18" ht="15">
      <c r="A21" s="274" t="s">
        <v>183</v>
      </c>
      <c r="B21" s="274"/>
      <c r="C21" s="284"/>
      <c r="D21" s="277">
        <v>0</v>
      </c>
      <c r="E21" s="270"/>
      <c r="F21" s="312" t="s">
        <v>259</v>
      </c>
      <c r="G21" s="313"/>
      <c r="H21" s="313"/>
      <c r="I21" s="313"/>
      <c r="J21" s="313"/>
      <c r="K21" s="313"/>
      <c r="L21" s="270"/>
      <c r="M21" s="274"/>
      <c r="N21" s="274"/>
      <c r="O21" s="274"/>
      <c r="P21" s="288"/>
      <c r="Q21" s="307"/>
      <c r="R21" s="270"/>
    </row>
    <row r="22" spans="1:18">
      <c r="A22" s="274" t="s">
        <v>241</v>
      </c>
      <c r="B22" s="274"/>
      <c r="C22" s="284"/>
      <c r="D22" s="277">
        <v>0</v>
      </c>
      <c r="E22" s="270"/>
      <c r="F22" s="274" t="s">
        <v>260</v>
      </c>
      <c r="G22" s="277">
        <f>G5</f>
        <v>1970</v>
      </c>
      <c r="H22" s="277">
        <f>H5</f>
        <v>1096.1000000000004</v>
      </c>
      <c r="I22" s="277">
        <f>I5</f>
        <v>1007</v>
      </c>
      <c r="J22" s="277">
        <f>J5</f>
        <v>1194.1000000000004</v>
      </c>
      <c r="K22" s="277"/>
      <c r="L22" s="270"/>
      <c r="M22" s="274" t="s">
        <v>261</v>
      </c>
      <c r="N22" s="274"/>
      <c r="O22" s="274"/>
      <c r="P22" s="288">
        <v>683.3</v>
      </c>
      <c r="Q22" s="307">
        <v>531.70000000000005</v>
      </c>
      <c r="R22" s="270"/>
    </row>
    <row r="23" spans="1:18">
      <c r="A23" s="274" t="s">
        <v>239</v>
      </c>
      <c r="B23" s="274"/>
      <c r="C23" s="284"/>
      <c r="D23" s="277">
        <v>734</v>
      </c>
      <c r="E23" s="270"/>
      <c r="F23" s="274" t="s">
        <v>262</v>
      </c>
      <c r="G23" s="277">
        <v>0</v>
      </c>
      <c r="H23" s="277">
        <v>0</v>
      </c>
      <c r="I23" s="277">
        <v>0</v>
      </c>
      <c r="J23" s="277">
        <v>0</v>
      </c>
      <c r="K23" s="277"/>
      <c r="L23" s="270"/>
      <c r="M23" s="274" t="s">
        <v>263</v>
      </c>
      <c r="N23" s="274"/>
      <c r="O23" s="274"/>
      <c r="P23" s="288">
        <v>225.1</v>
      </c>
      <c r="Q23" s="307">
        <f>65+248.2</f>
        <v>313.2</v>
      </c>
      <c r="R23" s="270"/>
    </row>
    <row r="24" spans="1:18" ht="15">
      <c r="A24" s="272" t="s">
        <v>264</v>
      </c>
      <c r="B24" s="274"/>
      <c r="C24" s="289"/>
      <c r="D24" s="276">
        <f>D19+D20+D21+D22-D23</f>
        <v>6153.4999999999991</v>
      </c>
      <c r="E24" s="270"/>
      <c r="F24" s="272" t="s">
        <v>265</v>
      </c>
      <c r="G24" s="276">
        <v>0</v>
      </c>
      <c r="H24" s="276">
        <v>0</v>
      </c>
      <c r="I24" s="276">
        <v>0</v>
      </c>
      <c r="J24" s="276">
        <v>0</v>
      </c>
      <c r="K24" s="276"/>
      <c r="L24" s="270"/>
      <c r="M24" s="274" t="s">
        <v>266</v>
      </c>
      <c r="N24" s="274"/>
      <c r="O24" s="274"/>
      <c r="P24" s="288">
        <v>796.1</v>
      </c>
      <c r="Q24" s="307">
        <v>535.79999999999995</v>
      </c>
      <c r="R24" s="270"/>
    </row>
    <row r="25" spans="1:18" ht="15">
      <c r="A25" s="270"/>
      <c r="B25" s="270"/>
      <c r="C25" s="270"/>
      <c r="D25" s="270"/>
      <c r="E25" s="270"/>
      <c r="F25" s="279" t="s">
        <v>154</v>
      </c>
      <c r="G25" s="292">
        <f t="shared" ref="G25:I25" si="5">IFERROR(G24/G$3,"")</f>
        <v>0</v>
      </c>
      <c r="H25" s="292">
        <f t="shared" si="5"/>
        <v>0</v>
      </c>
      <c r="I25" s="292">
        <f t="shared" si="5"/>
        <v>0</v>
      </c>
      <c r="J25" s="292">
        <f>IFERROR(J24/J$3,"")</f>
        <v>0</v>
      </c>
      <c r="K25" s="292"/>
      <c r="L25" s="270"/>
      <c r="M25" s="272" t="s">
        <v>94</v>
      </c>
      <c r="N25" s="272"/>
      <c r="O25" s="272"/>
      <c r="P25" s="290">
        <f>SUM(P22:P24)</f>
        <v>1704.5</v>
      </c>
      <c r="Q25" s="308">
        <f>SUM(Q22:Q24)</f>
        <v>1380.7</v>
      </c>
      <c r="R25" s="270"/>
    </row>
    <row r="26" spans="1:18" ht="15">
      <c r="A26" s="312" t="s">
        <v>267</v>
      </c>
      <c r="B26" s="313"/>
      <c r="C26" s="313"/>
      <c r="D26" s="313"/>
      <c r="E26" s="270"/>
      <c r="F26" s="274"/>
      <c r="G26" s="277"/>
      <c r="H26" s="277"/>
      <c r="I26" s="277"/>
      <c r="J26" s="277"/>
      <c r="K26" s="277"/>
      <c r="L26" s="270"/>
      <c r="M26" s="274"/>
      <c r="N26" s="274"/>
      <c r="O26" s="274"/>
      <c r="P26" s="288"/>
      <c r="Q26" s="307"/>
      <c r="R26" s="270"/>
    </row>
    <row r="27" spans="1:18" ht="15">
      <c r="A27" s="272"/>
      <c r="B27" s="273"/>
      <c r="D27" s="273">
        <v>2013</v>
      </c>
      <c r="E27" s="270"/>
      <c r="F27" s="274" t="s">
        <v>268</v>
      </c>
      <c r="G27" s="277">
        <f>G8</f>
        <v>1424.8</v>
      </c>
      <c r="H27" s="277">
        <f>H8</f>
        <v>526.10000000000036</v>
      </c>
      <c r="I27" s="277">
        <f>I8</f>
        <v>387.70000000000005</v>
      </c>
      <c r="J27" s="277">
        <f>J8</f>
        <v>505.70000000000033</v>
      </c>
      <c r="K27" s="277"/>
      <c r="L27" s="270"/>
      <c r="M27" s="274" t="s">
        <v>258</v>
      </c>
      <c r="N27" s="274"/>
      <c r="O27" s="274"/>
      <c r="P27" s="288">
        <v>955</v>
      </c>
      <c r="Q27" s="307">
        <v>890</v>
      </c>
      <c r="R27" s="270"/>
    </row>
    <row r="28" spans="1:18">
      <c r="E28" s="270"/>
      <c r="F28" s="274" t="s">
        <v>262</v>
      </c>
      <c r="G28" s="277">
        <v>0</v>
      </c>
      <c r="H28" s="277">
        <v>0</v>
      </c>
      <c r="I28" s="277">
        <v>0</v>
      </c>
      <c r="J28" s="277">
        <v>0</v>
      </c>
      <c r="K28" s="277"/>
      <c r="L28" s="270"/>
      <c r="M28" s="274" t="s">
        <v>269</v>
      </c>
      <c r="N28" s="274"/>
      <c r="O28" s="274"/>
      <c r="P28" s="288">
        <f>129.6+305.2</f>
        <v>434.79999999999995</v>
      </c>
      <c r="Q28" s="307">
        <f>143+244.2</f>
        <v>387.2</v>
      </c>
      <c r="R28" s="270"/>
    </row>
    <row r="29" spans="1:18" ht="15">
      <c r="A29" s="272" t="s">
        <v>270</v>
      </c>
      <c r="B29" s="274"/>
      <c r="D29" s="293">
        <f>D24/J3</f>
        <v>0.80279448409022702</v>
      </c>
      <c r="E29" s="270"/>
      <c r="F29" s="274" t="s">
        <v>271</v>
      </c>
      <c r="G29" s="277">
        <v>0</v>
      </c>
      <c r="H29" s="277">
        <v>0</v>
      </c>
      <c r="I29" s="277">
        <v>0</v>
      </c>
      <c r="J29" s="277">
        <v>0</v>
      </c>
      <c r="K29" s="277"/>
      <c r="L29" s="270"/>
      <c r="M29" s="272" t="s">
        <v>88</v>
      </c>
      <c r="N29" s="272"/>
      <c r="O29" s="272"/>
      <c r="P29" s="290">
        <f>P25+P27+P28</f>
        <v>3094.3</v>
      </c>
      <c r="Q29" s="308">
        <f>Q25+Q27+Q28</f>
        <v>2657.8999999999996</v>
      </c>
      <c r="R29" s="270"/>
    </row>
    <row r="30" spans="1:18" ht="15">
      <c r="A30" s="274"/>
      <c r="B30" s="274"/>
      <c r="D30" s="295"/>
      <c r="E30" s="270"/>
      <c r="F30" s="272" t="s">
        <v>272</v>
      </c>
      <c r="G30" s="276">
        <f>G8</f>
        <v>1424.8</v>
      </c>
      <c r="H30" s="276">
        <f t="shared" ref="H30:J30" si="6">H8</f>
        <v>526.10000000000036</v>
      </c>
      <c r="I30" s="276">
        <f t="shared" si="6"/>
        <v>387.70000000000005</v>
      </c>
      <c r="J30" s="276">
        <f t="shared" si="6"/>
        <v>505.70000000000033</v>
      </c>
      <c r="K30" s="276"/>
      <c r="L30" s="270"/>
      <c r="M30" s="274"/>
      <c r="N30" s="274"/>
      <c r="O30" s="274"/>
      <c r="P30" s="288"/>
      <c r="Q30" s="307"/>
      <c r="R30" s="270"/>
    </row>
    <row r="31" spans="1:18" ht="15">
      <c r="A31" s="272" t="s">
        <v>273</v>
      </c>
      <c r="B31" s="274"/>
      <c r="D31" s="293">
        <f>D24/J34</f>
        <v>10.943446558776447</v>
      </c>
      <c r="E31" s="270"/>
      <c r="F31" s="279" t="s">
        <v>154</v>
      </c>
      <c r="G31" s="292">
        <f t="shared" ref="G31:I31" si="7">IFERROR(G30/G$3,"")</f>
        <v>0.1450827851658758</v>
      </c>
      <c r="H31" s="292">
        <f t="shared" si="7"/>
        <v>6.9788419446839611E-2</v>
      </c>
      <c r="I31" s="292">
        <f t="shared" si="7"/>
        <v>4.7622557148296919E-2</v>
      </c>
      <c r="J31" s="292">
        <f>IFERROR(J30/J$3,"")</f>
        <v>6.5974351280479099E-2</v>
      </c>
      <c r="K31" s="292"/>
      <c r="L31" s="270"/>
      <c r="M31" s="274" t="s">
        <v>241</v>
      </c>
      <c r="N31" s="274"/>
      <c r="O31" s="274"/>
      <c r="P31" s="288">
        <v>0</v>
      </c>
      <c r="Q31" s="307">
        <v>0</v>
      </c>
      <c r="R31" s="270"/>
    </row>
    <row r="32" spans="1:18">
      <c r="A32" s="274"/>
      <c r="B32" s="274"/>
      <c r="D32" s="295"/>
      <c r="E32" s="270"/>
      <c r="F32" s="274"/>
      <c r="G32" s="277"/>
      <c r="H32" s="277"/>
      <c r="I32" s="277"/>
      <c r="J32" s="277"/>
      <c r="K32" s="277"/>
      <c r="L32" s="270"/>
      <c r="M32" s="274" t="s">
        <v>183</v>
      </c>
      <c r="N32" s="274"/>
      <c r="O32" s="274"/>
      <c r="P32" s="288">
        <v>0</v>
      </c>
      <c r="Q32" s="307">
        <v>0</v>
      </c>
      <c r="R32" s="270"/>
    </row>
    <row r="33" spans="1:21" ht="15">
      <c r="A33" s="272" t="s">
        <v>274</v>
      </c>
      <c r="B33" s="274"/>
      <c r="D33" s="293">
        <f>D24/J30</f>
        <v>12.168281589875411</v>
      </c>
      <c r="E33" s="270"/>
      <c r="F33" s="274" t="s">
        <v>151</v>
      </c>
      <c r="G33" s="277">
        <f>N3</f>
        <v>59</v>
      </c>
      <c r="H33" s="277">
        <f t="shared" ref="H33:J33" si="8">O3</f>
        <v>59.3</v>
      </c>
      <c r="I33" s="277">
        <f t="shared" si="8"/>
        <v>57.7</v>
      </c>
      <c r="J33" s="277">
        <f t="shared" si="8"/>
        <v>56.6</v>
      </c>
      <c r="K33" s="277"/>
      <c r="L33" s="270"/>
      <c r="M33" s="274" t="s">
        <v>275</v>
      </c>
      <c r="N33" s="274"/>
      <c r="O33" s="274"/>
      <c r="P33" s="288">
        <v>1853.5</v>
      </c>
      <c r="Q33" s="307">
        <v>2107.8000000000002</v>
      </c>
      <c r="R33" s="270"/>
    </row>
    <row r="34" spans="1:21" ht="15">
      <c r="A34" s="274"/>
      <c r="B34" s="274"/>
      <c r="D34" s="295"/>
      <c r="E34" s="270"/>
      <c r="F34" s="272" t="s">
        <v>276</v>
      </c>
      <c r="G34" s="276">
        <f>G33+G8</f>
        <v>1483.8</v>
      </c>
      <c r="H34" s="276">
        <f t="shared" ref="H34:J34" si="9">H33+H8</f>
        <v>585.40000000000032</v>
      </c>
      <c r="I34" s="276">
        <f t="shared" si="9"/>
        <v>445.40000000000003</v>
      </c>
      <c r="J34" s="276">
        <f t="shared" si="9"/>
        <v>562.3000000000003</v>
      </c>
      <c r="K34" s="276"/>
      <c r="L34" s="270"/>
      <c r="M34" s="296" t="s">
        <v>277</v>
      </c>
      <c r="N34" s="296"/>
      <c r="O34" s="296"/>
      <c r="P34" s="310">
        <f>P29+P33+P32+P31</f>
        <v>4947.8</v>
      </c>
      <c r="Q34" s="311">
        <f>Q29+Q33+Q32+Q31</f>
        <v>4765.7</v>
      </c>
      <c r="R34" s="270"/>
    </row>
    <row r="35" spans="1:21" ht="15">
      <c r="A35" s="272" t="s">
        <v>278</v>
      </c>
      <c r="B35" s="274"/>
      <c r="D35" s="293">
        <f>D12/J18</f>
        <v>13.31738035264482</v>
      </c>
      <c r="E35" s="270"/>
      <c r="F35" s="279" t="s">
        <v>154</v>
      </c>
      <c r="G35" s="292">
        <f t="shared" ref="G35:I35" si="10">IFERROR(G34/G$3,"")</f>
        <v>0.15109056473127913</v>
      </c>
      <c r="H35" s="292">
        <f t="shared" si="10"/>
        <v>7.7654705843337571E-2</v>
      </c>
      <c r="I35" s="292">
        <f t="shared" si="10"/>
        <v>5.4710051467246446E-2</v>
      </c>
      <c r="J35" s="292">
        <f>IFERROR(J34/J$3,"")</f>
        <v>7.3358468904515306E-2</v>
      </c>
      <c r="K35" s="292"/>
      <c r="L35" s="270"/>
      <c r="M35" s="279" t="s">
        <v>279</v>
      </c>
      <c r="N35" s="274"/>
      <c r="O35" s="274"/>
      <c r="P35" s="288">
        <f>P20-P34</f>
        <v>0</v>
      </c>
      <c r="Q35" s="307">
        <f>Q20-Q34</f>
        <v>0</v>
      </c>
      <c r="R35" s="270"/>
    </row>
    <row r="36" spans="1:21">
      <c r="A36" s="274"/>
      <c r="B36" s="274"/>
      <c r="C36" s="274"/>
      <c r="D36" s="275"/>
      <c r="E36" s="270"/>
      <c r="F36" s="274"/>
      <c r="G36" s="274"/>
      <c r="H36" s="274"/>
      <c r="I36" s="274"/>
      <c r="J36" s="274"/>
      <c r="K36" s="274"/>
      <c r="L36" s="270"/>
      <c r="R36" s="270"/>
    </row>
    <row r="37" spans="1:21" ht="15" customHeight="1">
      <c r="A37" s="298"/>
      <c r="B37" s="299"/>
      <c r="C37" s="299"/>
      <c r="D37" s="299"/>
      <c r="E37" s="270"/>
      <c r="F37" s="274" t="s">
        <v>280</v>
      </c>
      <c r="G37" s="277">
        <v>0</v>
      </c>
      <c r="H37" s="277">
        <v>0</v>
      </c>
      <c r="I37" s="277">
        <v>0</v>
      </c>
      <c r="J37" s="277">
        <v>0</v>
      </c>
      <c r="K37" s="277"/>
      <c r="L37" s="270"/>
      <c r="M37" s="270"/>
      <c r="N37" s="270"/>
      <c r="O37" s="270"/>
      <c r="P37" s="270"/>
      <c r="Q37" s="270"/>
      <c r="R37" s="270"/>
    </row>
    <row r="38" spans="1:21" ht="15">
      <c r="A38" s="274"/>
      <c r="B38" s="274"/>
      <c r="C38" s="300"/>
      <c r="D38" s="277"/>
      <c r="E38" s="270"/>
      <c r="F38" s="274" t="s">
        <v>262</v>
      </c>
      <c r="G38" s="277">
        <v>0</v>
      </c>
      <c r="H38" s="277">
        <v>0</v>
      </c>
      <c r="I38" s="277">
        <v>0</v>
      </c>
      <c r="J38" s="277">
        <v>0</v>
      </c>
      <c r="K38" s="277"/>
      <c r="L38" s="270"/>
      <c r="M38" s="312" t="s">
        <v>281</v>
      </c>
      <c r="N38" s="313"/>
      <c r="O38" s="313"/>
      <c r="P38" s="313"/>
      <c r="Q38" s="313"/>
      <c r="R38" s="270"/>
    </row>
    <row r="39" spans="1:21">
      <c r="A39" s="274"/>
      <c r="B39" s="274"/>
      <c r="C39" s="174"/>
      <c r="D39" s="301"/>
      <c r="E39" s="270"/>
      <c r="F39" s="274" t="s">
        <v>271</v>
      </c>
      <c r="G39" s="277">
        <v>0</v>
      </c>
      <c r="H39" s="277">
        <v>0</v>
      </c>
      <c r="I39" s="277">
        <v>0</v>
      </c>
      <c r="J39" s="277">
        <v>0</v>
      </c>
      <c r="K39" s="277"/>
      <c r="L39" s="270"/>
      <c r="M39" s="274" t="s">
        <v>282</v>
      </c>
      <c r="N39" s="302">
        <f>D20+Q33-SUM(Q17:Q19)</f>
        <v>2553.3999999999996</v>
      </c>
      <c r="O39" s="274"/>
      <c r="P39" s="274"/>
      <c r="Q39" s="274"/>
      <c r="R39" s="270"/>
    </row>
    <row r="40" spans="1:21">
      <c r="A40" s="274"/>
      <c r="B40" s="274"/>
      <c r="C40" s="174"/>
      <c r="D40" s="301"/>
      <c r="E40" s="270"/>
      <c r="F40" s="274" t="s">
        <v>283</v>
      </c>
      <c r="G40" s="277">
        <v>0</v>
      </c>
      <c r="H40" s="277">
        <v>0</v>
      </c>
      <c r="I40" s="277">
        <v>0</v>
      </c>
      <c r="J40" s="277">
        <v>0</v>
      </c>
      <c r="K40" s="277"/>
      <c r="L40" s="270"/>
      <c r="M40" s="274" t="s">
        <v>284</v>
      </c>
      <c r="N40" s="277">
        <f>((Q27-Q11)+(P27-P11))/2</f>
        <v>285.39999999999998</v>
      </c>
      <c r="O40" s="274"/>
      <c r="P40" s="274"/>
      <c r="Q40" s="274"/>
      <c r="R40" s="270"/>
    </row>
    <row r="41" spans="1:21">
      <c r="A41" s="274"/>
      <c r="B41" s="274"/>
      <c r="C41" s="277"/>
      <c r="D41" s="277"/>
      <c r="E41" s="270"/>
      <c r="F41" s="274" t="s">
        <v>285</v>
      </c>
      <c r="G41" s="277">
        <v>0</v>
      </c>
      <c r="H41" s="277">
        <v>0</v>
      </c>
      <c r="I41" s="277">
        <v>0</v>
      </c>
      <c r="J41" s="277">
        <v>0</v>
      </c>
      <c r="K41" s="277"/>
      <c r="L41" s="270"/>
      <c r="R41" s="270"/>
    </row>
    <row r="42" spans="1:21" ht="15">
      <c r="A42" s="274"/>
      <c r="B42" s="274"/>
      <c r="C42" s="274"/>
      <c r="D42" s="274"/>
      <c r="E42" s="270"/>
      <c r="F42" s="272" t="s">
        <v>286</v>
      </c>
      <c r="G42" s="303">
        <f>G14</f>
        <v>819.30000000000007</v>
      </c>
      <c r="H42" s="303">
        <f t="shared" ref="H42:J42" si="11">H14</f>
        <v>291.00000000000034</v>
      </c>
      <c r="I42" s="303">
        <f t="shared" si="11"/>
        <v>243.90000000000003</v>
      </c>
      <c r="J42" s="303">
        <f t="shared" si="11"/>
        <v>317.60000000000036</v>
      </c>
      <c r="K42" s="303"/>
      <c r="L42" s="270"/>
      <c r="R42" s="270"/>
    </row>
    <row r="43" spans="1:21" ht="15">
      <c r="A43" s="298"/>
      <c r="B43" s="299"/>
      <c r="C43" s="299"/>
      <c r="D43" s="299"/>
      <c r="E43" s="270"/>
      <c r="F43" s="279" t="s">
        <v>154</v>
      </c>
      <c r="G43" s="292">
        <f t="shared" ref="G43:I43" si="12">IFERROR(G42/G$3,"")</f>
        <v>8.3426674541270396E-2</v>
      </c>
      <c r="H43" s="292">
        <f t="shared" si="12"/>
        <v>3.8601843868143575E-2</v>
      </c>
      <c r="I43" s="292">
        <f t="shared" si="12"/>
        <v>2.995909643659948E-2</v>
      </c>
      <c r="J43" s="292">
        <f>IFERROR(J42/J$3,"")</f>
        <v>4.1434554017560153E-2</v>
      </c>
      <c r="K43" s="292"/>
      <c r="L43" s="270"/>
      <c r="R43" s="270"/>
    </row>
    <row r="44" spans="1:21">
      <c r="A44" s="274"/>
      <c r="B44" s="274"/>
      <c r="C44" s="291"/>
      <c r="D44" s="304"/>
      <c r="E44" s="270"/>
      <c r="F44" s="274"/>
      <c r="G44" s="274"/>
      <c r="H44" s="274"/>
      <c r="I44" s="274"/>
      <c r="J44" s="274"/>
      <c r="K44" s="274"/>
      <c r="L44" s="270"/>
      <c r="R44" s="270"/>
    </row>
    <row r="45" spans="1:21">
      <c r="A45" s="274"/>
      <c r="B45" s="274"/>
      <c r="C45" s="291"/>
      <c r="D45" s="304"/>
      <c r="E45" s="270"/>
      <c r="F45" s="274" t="s">
        <v>287</v>
      </c>
      <c r="G45" s="305">
        <v>0</v>
      </c>
      <c r="H45" s="305">
        <v>0</v>
      </c>
      <c r="I45" s="305">
        <v>0</v>
      </c>
      <c r="J45" s="305">
        <v>0</v>
      </c>
      <c r="K45" s="305"/>
      <c r="L45" s="270"/>
      <c r="R45" s="270"/>
    </row>
    <row r="46" spans="1:21" ht="15" customHeight="1">
      <c r="A46" s="270"/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</row>
    <row r="47" spans="1:21" ht="15" customHeight="1"/>
    <row r="48" spans="1:21">
      <c r="A48" s="274"/>
      <c r="B48" s="274"/>
      <c r="C48" s="291"/>
      <c r="D48" s="306"/>
      <c r="F48" s="274"/>
      <c r="G48" s="274"/>
      <c r="H48" s="274"/>
      <c r="I48" s="274"/>
      <c r="J48" s="274"/>
      <c r="K48" s="274"/>
      <c r="M48" s="274"/>
      <c r="N48" s="274"/>
      <c r="O48" s="274"/>
      <c r="P48" s="274"/>
      <c r="Q48" s="274"/>
      <c r="R48" s="274"/>
      <c r="S48" s="274"/>
      <c r="T48" s="274"/>
      <c r="U48" s="274"/>
    </row>
    <row r="49" spans="1:21">
      <c r="A49" s="274"/>
      <c r="B49" s="274"/>
      <c r="C49" s="291"/>
      <c r="D49" s="306"/>
      <c r="F49" s="274"/>
      <c r="G49" s="274"/>
      <c r="H49" s="274"/>
      <c r="I49" s="274"/>
      <c r="J49" s="274"/>
      <c r="K49" s="274"/>
      <c r="M49" s="274"/>
      <c r="N49" s="274"/>
      <c r="O49" s="274"/>
      <c r="P49" s="274"/>
      <c r="Q49" s="274"/>
      <c r="R49" s="274"/>
      <c r="S49" s="274"/>
      <c r="T49" s="274"/>
      <c r="U49" s="274"/>
    </row>
    <row r="50" spans="1:21">
      <c r="A50" s="274"/>
      <c r="B50" s="274"/>
      <c r="C50" s="274"/>
      <c r="D50" s="274"/>
      <c r="F50" s="274"/>
      <c r="G50" s="274"/>
      <c r="H50" s="274"/>
      <c r="I50" s="274"/>
      <c r="J50" s="274"/>
      <c r="K50" s="274"/>
      <c r="M50" s="274"/>
      <c r="N50" s="274"/>
      <c r="O50" s="274"/>
      <c r="P50" s="274"/>
      <c r="Q50" s="274"/>
      <c r="R50" s="274"/>
      <c r="S50" s="274"/>
      <c r="T50" s="274"/>
      <c r="U50" s="274"/>
    </row>
    <row r="51" spans="1:21" ht="15">
      <c r="A51" s="298"/>
      <c r="B51" s="299"/>
      <c r="C51" s="299"/>
      <c r="D51" s="299"/>
      <c r="F51" s="274"/>
      <c r="G51" s="274"/>
      <c r="H51" s="274"/>
      <c r="I51" s="274"/>
      <c r="J51" s="274"/>
      <c r="K51" s="274"/>
      <c r="M51" s="274"/>
      <c r="N51" s="274"/>
      <c r="O51" s="274"/>
      <c r="P51" s="274"/>
      <c r="Q51" s="274"/>
      <c r="R51" s="274"/>
      <c r="S51" s="274"/>
      <c r="T51" s="274"/>
      <c r="U51" s="274"/>
    </row>
    <row r="52" spans="1:21" ht="15">
      <c r="A52" s="274"/>
      <c r="B52" s="273"/>
      <c r="C52" s="273"/>
      <c r="D52" s="273"/>
      <c r="F52" s="274"/>
      <c r="G52" s="274"/>
      <c r="H52" s="274"/>
      <c r="I52" s="274"/>
      <c r="J52" s="274"/>
      <c r="K52" s="274"/>
      <c r="M52" s="274"/>
      <c r="N52" s="274"/>
      <c r="O52" s="274"/>
      <c r="P52" s="274"/>
      <c r="Q52" s="274"/>
      <c r="R52" s="274"/>
      <c r="S52" s="274"/>
      <c r="T52" s="274"/>
      <c r="U52" s="274"/>
    </row>
    <row r="53" spans="1:21" ht="15">
      <c r="A53" s="272"/>
      <c r="B53" s="274"/>
      <c r="C53" s="274"/>
      <c r="D53" s="274"/>
      <c r="F53" s="274"/>
      <c r="G53" s="274"/>
      <c r="H53" s="274"/>
      <c r="I53" s="274"/>
      <c r="J53" s="274"/>
      <c r="K53" s="274"/>
      <c r="M53" s="274"/>
      <c r="N53" s="274"/>
      <c r="O53" s="274"/>
      <c r="P53" s="274"/>
      <c r="Q53" s="274"/>
      <c r="R53" s="274"/>
      <c r="S53" s="274"/>
      <c r="T53" s="274"/>
      <c r="U53" s="274"/>
    </row>
    <row r="54" spans="1:21">
      <c r="A54" s="274"/>
      <c r="B54" s="301"/>
      <c r="C54" s="174"/>
      <c r="D54" s="174"/>
      <c r="F54" s="274"/>
      <c r="G54" s="274"/>
      <c r="H54" s="274"/>
      <c r="I54" s="274"/>
      <c r="J54" s="274"/>
      <c r="K54" s="274"/>
      <c r="M54" s="274"/>
      <c r="N54" s="274"/>
      <c r="O54" s="274"/>
      <c r="P54" s="274"/>
      <c r="Q54" s="274"/>
      <c r="R54" s="274"/>
      <c r="S54" s="274"/>
      <c r="T54" s="274"/>
      <c r="U54" s="274"/>
    </row>
    <row r="55" spans="1:21">
      <c r="A55" s="274"/>
      <c r="B55" s="301"/>
      <c r="C55" s="306"/>
      <c r="D55" s="306"/>
      <c r="F55" s="274"/>
      <c r="G55" s="274"/>
      <c r="H55" s="274"/>
      <c r="I55" s="274"/>
      <c r="J55" s="274"/>
      <c r="K55" s="274"/>
      <c r="L55" s="299"/>
      <c r="M55" s="274"/>
      <c r="N55" s="274"/>
      <c r="O55" s="274"/>
      <c r="P55" s="274"/>
      <c r="Q55" s="274"/>
      <c r="R55" s="274"/>
      <c r="S55" s="274"/>
      <c r="T55" s="274"/>
      <c r="U55" s="274"/>
    </row>
    <row r="56" spans="1:21" ht="15">
      <c r="A56" s="272"/>
      <c r="B56" s="306"/>
      <c r="C56" s="306"/>
      <c r="D56" s="306"/>
      <c r="F56" s="274"/>
      <c r="G56" s="274"/>
      <c r="H56" s="274"/>
      <c r="I56" s="274"/>
      <c r="J56" s="274"/>
      <c r="K56" s="274"/>
      <c r="M56" s="274"/>
      <c r="N56" s="274"/>
      <c r="O56" s="274"/>
      <c r="P56" s="274"/>
      <c r="Q56" s="274"/>
      <c r="R56" s="274"/>
      <c r="S56" s="274"/>
      <c r="T56" s="274"/>
      <c r="U56" s="274"/>
    </row>
    <row r="57" spans="1:21">
      <c r="A57" s="274"/>
      <c r="B57" s="306"/>
      <c r="C57" s="306"/>
      <c r="D57" s="306"/>
      <c r="F57" s="274"/>
      <c r="G57" s="274"/>
      <c r="H57" s="274"/>
      <c r="I57" s="274"/>
      <c r="J57" s="274"/>
      <c r="K57" s="274"/>
      <c r="M57" s="274"/>
      <c r="N57" s="274"/>
      <c r="O57" s="274"/>
      <c r="P57" s="274"/>
      <c r="Q57" s="274"/>
      <c r="R57" s="274"/>
      <c r="S57" s="274"/>
      <c r="T57" s="274"/>
      <c r="U57" s="274"/>
    </row>
    <row r="58" spans="1:21">
      <c r="A58" s="274"/>
      <c r="B58" s="306"/>
      <c r="C58" s="306"/>
      <c r="D58" s="306"/>
      <c r="F58" s="274"/>
      <c r="G58" s="274"/>
      <c r="H58" s="274"/>
      <c r="I58" s="274"/>
      <c r="J58" s="274"/>
      <c r="K58" s="274"/>
      <c r="M58" s="274"/>
      <c r="N58" s="274"/>
      <c r="O58" s="274"/>
      <c r="P58" s="274"/>
      <c r="Q58" s="274"/>
      <c r="R58" s="274"/>
      <c r="S58" s="274"/>
      <c r="T58" s="274"/>
      <c r="U58" s="274"/>
    </row>
    <row r="59" spans="1:21">
      <c r="A59" s="274"/>
      <c r="B59" s="306"/>
      <c r="C59" s="306"/>
      <c r="D59" s="306"/>
      <c r="F59" s="274"/>
      <c r="G59" s="274"/>
      <c r="H59" s="274"/>
      <c r="I59" s="274"/>
      <c r="J59" s="274"/>
      <c r="K59" s="274"/>
      <c r="M59" s="274"/>
      <c r="N59" s="274"/>
      <c r="O59" s="274"/>
      <c r="P59" s="274"/>
      <c r="Q59" s="274"/>
      <c r="R59" s="274"/>
      <c r="S59" s="274"/>
      <c r="T59" s="274"/>
      <c r="U59" s="274"/>
    </row>
    <row r="60" spans="1:21">
      <c r="A60" s="274"/>
      <c r="B60" s="274"/>
      <c r="C60" s="274"/>
      <c r="D60" s="274"/>
      <c r="F60" s="274"/>
      <c r="G60" s="274"/>
      <c r="H60" s="274"/>
      <c r="I60" s="274"/>
      <c r="J60" s="274"/>
      <c r="K60" s="274"/>
      <c r="M60" s="274"/>
      <c r="N60" s="274"/>
      <c r="O60" s="274"/>
      <c r="P60" s="274"/>
      <c r="Q60" s="274"/>
      <c r="R60" s="274"/>
      <c r="S60" s="274"/>
      <c r="T60" s="274"/>
      <c r="U60" s="274"/>
    </row>
    <row r="61" spans="1:21">
      <c r="A61" s="274"/>
      <c r="B61" s="274"/>
      <c r="C61" s="274"/>
      <c r="D61" s="274"/>
      <c r="F61" s="274"/>
      <c r="G61" s="274"/>
      <c r="H61" s="274"/>
      <c r="I61" s="274"/>
      <c r="J61" s="274"/>
      <c r="K61" s="274"/>
      <c r="M61" s="274"/>
      <c r="N61" s="274"/>
      <c r="O61" s="274"/>
      <c r="P61" s="274"/>
      <c r="Q61" s="274"/>
      <c r="R61" s="274"/>
      <c r="S61" s="274"/>
      <c r="T61" s="274"/>
      <c r="U61" s="274"/>
    </row>
    <row r="62" spans="1:21">
      <c r="A62" s="274"/>
      <c r="B62" s="274"/>
      <c r="C62" s="274"/>
      <c r="D62" s="274"/>
      <c r="F62" s="274"/>
      <c r="G62" s="274"/>
      <c r="H62" s="274"/>
      <c r="I62" s="274"/>
      <c r="J62" s="274"/>
      <c r="K62" s="274"/>
      <c r="M62" s="274"/>
      <c r="N62" s="274"/>
      <c r="O62" s="274"/>
      <c r="P62" s="274"/>
      <c r="Q62" s="274"/>
      <c r="R62" s="274"/>
      <c r="S62" s="274"/>
      <c r="T62" s="274"/>
      <c r="U62" s="274"/>
    </row>
    <row r="63" spans="1:21">
      <c r="A63" s="274"/>
      <c r="B63" s="274"/>
      <c r="C63" s="274"/>
      <c r="D63" s="274"/>
      <c r="F63" s="274"/>
      <c r="G63" s="274"/>
      <c r="H63" s="274"/>
      <c r="I63" s="274"/>
      <c r="J63" s="274"/>
      <c r="K63" s="274"/>
      <c r="M63" s="274"/>
      <c r="N63" s="274"/>
      <c r="O63" s="274"/>
      <c r="P63" s="274"/>
      <c r="Q63" s="274"/>
      <c r="R63" s="274"/>
      <c r="S63" s="274"/>
      <c r="T63" s="274"/>
      <c r="U63" s="274"/>
    </row>
  </sheetData>
  <pageMargins left="0.70866141732283472" right="0.70866141732283472" top="0.74803149606299213" bottom="0.74803149606299213" header="0.31496062992125984" footer="0.31496062992125984"/>
  <pageSetup paperSize="9" scale="46" orientation="landscape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0" tint="-0.249977111117893"/>
  </sheetPr>
  <dimension ref="A1:M69"/>
  <sheetViews>
    <sheetView workbookViewId="0">
      <selection activeCell="E2" sqref="E2:M19"/>
    </sheetView>
  </sheetViews>
  <sheetFormatPr defaultColWidth="8.85546875" defaultRowHeight="15"/>
  <cols>
    <col min="1" max="1" width="10.140625" bestFit="1" customWidth="1"/>
  </cols>
  <sheetData>
    <row r="1" spans="1:13">
      <c r="A1" t="s">
        <v>123</v>
      </c>
      <c r="B1" t="s">
        <v>406</v>
      </c>
      <c r="C1" t="s">
        <v>408</v>
      </c>
    </row>
    <row r="2" spans="1:13">
      <c r="A2" s="474">
        <f>'Cost of Equity'!A40</f>
        <v>39871</v>
      </c>
      <c r="B2">
        <f>'Cost of Equity'!AQ40</f>
        <v>8.1952736214643773E-2</v>
      </c>
      <c r="C2">
        <f>'Cost of Equity'!W40</f>
        <v>-5.3399204848175119E-2</v>
      </c>
      <c r="E2" s="473" t="s">
        <v>346</v>
      </c>
      <c r="F2" s="473"/>
      <c r="G2" s="473"/>
      <c r="H2" s="473"/>
      <c r="I2" s="473"/>
      <c r="J2" s="473"/>
      <c r="K2" s="473"/>
      <c r="L2" s="473"/>
      <c r="M2" s="473"/>
    </row>
    <row r="3" spans="1:13" ht="15.75" thickBot="1">
      <c r="A3" s="474">
        <f>'Cost of Equity'!A41</f>
        <v>39903</v>
      </c>
      <c r="B3" s="473">
        <f>'Cost of Equity'!AQ41</f>
        <v>8.9772214920969498E-2</v>
      </c>
      <c r="C3" s="473">
        <f>'Cost of Equity'!W41</f>
        <v>4.5658466459743426E-2</v>
      </c>
      <c r="E3" s="473"/>
      <c r="F3" s="473"/>
      <c r="G3" s="473"/>
      <c r="H3" s="473"/>
      <c r="I3" s="473"/>
      <c r="J3" s="473"/>
      <c r="K3" s="473"/>
      <c r="L3" s="473"/>
      <c r="M3" s="473"/>
    </row>
    <row r="4" spans="1:13">
      <c r="A4" s="474">
        <f>'Cost of Equity'!A42</f>
        <v>39933</v>
      </c>
      <c r="B4" s="473">
        <f>'Cost of Equity'!AQ42</f>
        <v>5.1720558420882315E-2</v>
      </c>
      <c r="C4" s="473">
        <f>'Cost of Equity'!W42</f>
        <v>0.25257061969262962</v>
      </c>
      <c r="E4" s="445" t="s">
        <v>347</v>
      </c>
      <c r="F4" s="445"/>
      <c r="G4" s="473"/>
      <c r="H4" s="473"/>
      <c r="I4" s="473"/>
      <c r="J4" s="473"/>
      <c r="K4" s="473"/>
      <c r="L4" s="473"/>
      <c r="M4" s="473"/>
    </row>
    <row r="5" spans="1:13">
      <c r="A5" s="474">
        <f>'Cost of Equity'!A43</f>
        <v>39962</v>
      </c>
      <c r="B5" s="473">
        <f>'Cost of Equity'!AQ43</f>
        <v>1.9581606407012827E-4</v>
      </c>
      <c r="C5" s="473">
        <f>'Cost of Equity'!W43</f>
        <v>-9.5503717048919495E-2</v>
      </c>
      <c r="E5" s="442" t="s">
        <v>348</v>
      </c>
      <c r="F5" s="442">
        <v>0.68246477223536739</v>
      </c>
      <c r="G5" s="473"/>
      <c r="H5" s="473"/>
      <c r="I5" s="473"/>
      <c r="J5" s="473"/>
      <c r="K5" s="473"/>
      <c r="L5" s="473"/>
      <c r="M5" s="473"/>
    </row>
    <row r="6" spans="1:13">
      <c r="A6" s="474">
        <f>'Cost of Equity'!A44</f>
        <v>39993</v>
      </c>
      <c r="B6" s="473">
        <f>'Cost of Equity'!AQ44</f>
        <v>7.1521977088891908E-2</v>
      </c>
      <c r="C6" s="473">
        <f>'Cost of Equity'!W44</f>
        <v>3.1286497080996287E-3</v>
      </c>
      <c r="E6" s="442" t="s">
        <v>349</v>
      </c>
      <c r="F6" s="442">
        <v>0.46575816534227182</v>
      </c>
      <c r="G6" s="473"/>
      <c r="H6" s="473"/>
      <c r="I6" s="473"/>
      <c r="J6" s="473"/>
      <c r="K6" s="473"/>
      <c r="L6" s="473"/>
      <c r="M6" s="473"/>
    </row>
    <row r="7" spans="1:13">
      <c r="A7" s="474">
        <f>'Cost of Equity'!A45</f>
        <v>40025</v>
      </c>
      <c r="B7" s="473">
        <f>'Cost of Equity'!AQ45</f>
        <v>3.3009321348136535E-2</v>
      </c>
      <c r="C7" s="473">
        <f>'Cost of Equity'!W45</f>
        <v>9.9397206158541335E-2</v>
      </c>
      <c r="E7" s="442" t="s">
        <v>350</v>
      </c>
      <c r="F7" s="442">
        <v>0.457663592089882</v>
      </c>
      <c r="G7" s="473"/>
      <c r="H7" s="473"/>
      <c r="I7" s="473"/>
      <c r="J7" s="473"/>
      <c r="K7" s="473"/>
      <c r="L7" s="473"/>
      <c r="M7" s="473"/>
    </row>
    <row r="8" spans="1:13">
      <c r="A8" s="474">
        <f>'Cost of Equity'!A46</f>
        <v>40056</v>
      </c>
      <c r="B8" s="473">
        <f>'Cost of Equity'!AQ46</f>
        <v>3.5100104155946166E-2</v>
      </c>
      <c r="C8" s="473">
        <f>'Cost of Equity'!W46</f>
        <v>3.7645240696212411E-2</v>
      </c>
      <c r="E8" s="442" t="s">
        <v>351</v>
      </c>
      <c r="F8" s="442">
        <v>0.10630536120439069</v>
      </c>
      <c r="G8" s="473"/>
      <c r="H8" s="473"/>
      <c r="I8" s="473"/>
      <c r="J8" s="473"/>
      <c r="K8" s="473"/>
      <c r="L8" s="473"/>
      <c r="M8" s="473"/>
    </row>
    <row r="9" spans="1:13" ht="15.75" thickBot="1">
      <c r="A9" s="474">
        <f>'Cost of Equity'!A47</f>
        <v>40086</v>
      </c>
      <c r="B9" s="473">
        <f>'Cost of Equity'!AQ47</f>
        <v>-1.9959865222177731E-2</v>
      </c>
      <c r="C9" s="473">
        <f>'Cost of Equity'!W47</f>
        <v>-1.4509100450311211E-2</v>
      </c>
      <c r="E9" s="443" t="s">
        <v>352</v>
      </c>
      <c r="F9" s="443">
        <v>68</v>
      </c>
      <c r="G9" s="473"/>
      <c r="H9" s="473"/>
      <c r="I9" s="473"/>
      <c r="J9" s="473"/>
      <c r="K9" s="473"/>
      <c r="L9" s="473"/>
      <c r="M9" s="473"/>
    </row>
    <row r="10" spans="1:13">
      <c r="A10" s="474">
        <f>'Cost of Equity'!A48</f>
        <v>40116</v>
      </c>
      <c r="B10" s="473">
        <f>'Cost of Equity'!AQ48</f>
        <v>5.5779015582807137E-2</v>
      </c>
      <c r="C10" s="473">
        <f>'Cost of Equity'!W48</f>
        <v>6.8141001499106874E-2</v>
      </c>
      <c r="E10" s="473"/>
      <c r="F10" s="473"/>
      <c r="G10" s="473"/>
      <c r="H10" s="473"/>
      <c r="I10" s="473"/>
      <c r="J10" s="473"/>
      <c r="K10" s="473"/>
      <c r="L10" s="473"/>
      <c r="M10" s="473"/>
    </row>
    <row r="11" spans="1:13" ht="15.75" thickBot="1">
      <c r="A11" s="474">
        <f>'Cost of Equity'!A49</f>
        <v>40147</v>
      </c>
      <c r="B11" s="473">
        <f>'Cost of Equity'!AQ49</f>
        <v>1.7614546700982087E-2</v>
      </c>
      <c r="C11" s="473">
        <f>'Cost of Equity'!W49</f>
        <v>3.5917442801510428E-2</v>
      </c>
      <c r="E11" s="473" t="s">
        <v>353</v>
      </c>
      <c r="F11" s="473"/>
      <c r="G11" s="473"/>
      <c r="H11" s="473"/>
      <c r="I11" s="473"/>
      <c r="J11" s="473"/>
      <c r="K11" s="473"/>
      <c r="L11" s="473"/>
      <c r="M11" s="473"/>
    </row>
    <row r="12" spans="1:13">
      <c r="A12" s="474">
        <f>'Cost of Equity'!A50</f>
        <v>40178</v>
      </c>
      <c r="B12" s="473">
        <f>'Cost of Equity'!AQ50</f>
        <v>-3.7675141059320766E-2</v>
      </c>
      <c r="C12" s="473">
        <f>'Cost of Equity'!W50</f>
        <v>-3.9390768146479689E-2</v>
      </c>
      <c r="E12" s="444"/>
      <c r="F12" s="444" t="s">
        <v>354</v>
      </c>
      <c r="G12" s="444" t="s">
        <v>355</v>
      </c>
      <c r="H12" s="444" t="s">
        <v>356</v>
      </c>
      <c r="I12" s="444" t="s">
        <v>357</v>
      </c>
      <c r="J12" s="444" t="s">
        <v>358</v>
      </c>
      <c r="K12" s="473"/>
      <c r="L12" s="473"/>
      <c r="M12" s="473"/>
    </row>
    <row r="13" spans="1:13">
      <c r="A13" s="474">
        <f>'Cost of Equity'!A51</f>
        <v>40207</v>
      </c>
      <c r="B13" s="473">
        <f>'Cost of Equity'!AQ51</f>
        <v>2.8114744036660498E-2</v>
      </c>
      <c r="C13" s="473">
        <f>'Cost of Equity'!W51</f>
        <v>-8.2692827672390164E-3</v>
      </c>
      <c r="E13" s="442" t="s">
        <v>359</v>
      </c>
      <c r="F13" s="442">
        <v>1</v>
      </c>
      <c r="G13" s="442">
        <v>0.65024475041043062</v>
      </c>
      <c r="H13" s="442">
        <v>0.65024475041043062</v>
      </c>
      <c r="I13" s="442">
        <v>57.539557777769524</v>
      </c>
      <c r="J13" s="442">
        <v>1.4613184659533552E-10</v>
      </c>
      <c r="K13" s="473"/>
      <c r="L13" s="473"/>
      <c r="M13" s="473"/>
    </row>
    <row r="14" spans="1:13">
      <c r="A14" s="474">
        <f>'Cost of Equity'!A52</f>
        <v>40235</v>
      </c>
      <c r="B14" s="473">
        <f>'Cost of Equity'!AQ52</f>
        <v>5.7132760645483123E-2</v>
      </c>
      <c r="C14" s="473">
        <f>'Cost of Equity'!W52</f>
        <v>9.5121136573777604E-2</v>
      </c>
      <c r="E14" s="442" t="s">
        <v>360</v>
      </c>
      <c r="F14" s="442">
        <v>66</v>
      </c>
      <c r="G14" s="442">
        <v>0.74585476817253415</v>
      </c>
      <c r="H14" s="442">
        <v>1.1300829820795971E-2</v>
      </c>
      <c r="I14" s="442"/>
      <c r="J14" s="442"/>
      <c r="K14" s="473"/>
      <c r="L14" s="473"/>
      <c r="M14" s="473"/>
    </row>
    <row r="15" spans="1:13" ht="15.75" thickBot="1">
      <c r="A15" s="474">
        <f>'Cost of Equity'!A53</f>
        <v>40268</v>
      </c>
      <c r="B15" s="473">
        <f>'Cost of Equity'!AQ53</f>
        <v>1.4651468311863144E-2</v>
      </c>
      <c r="C15" s="473">
        <f>'Cost of Equity'!W53</f>
        <v>0.12576348955600611</v>
      </c>
      <c r="E15" s="443" t="s">
        <v>81</v>
      </c>
      <c r="F15" s="443">
        <v>67</v>
      </c>
      <c r="G15" s="443">
        <v>1.3960995185829648</v>
      </c>
      <c r="H15" s="443"/>
      <c r="I15" s="443"/>
      <c r="J15" s="443"/>
      <c r="K15" s="473"/>
      <c r="L15" s="473"/>
      <c r="M15" s="473"/>
    </row>
    <row r="16" spans="1:13" ht="15.75" thickBot="1">
      <c r="A16" s="474">
        <f>'Cost of Equity'!A54</f>
        <v>40298</v>
      </c>
      <c r="B16" s="473">
        <f>'Cost of Equity'!AQ54</f>
        <v>-8.5531653633770133E-2</v>
      </c>
      <c r="C16" s="473">
        <f>'Cost of Equity'!W54</f>
        <v>0.11159042472383045</v>
      </c>
      <c r="E16" s="473"/>
      <c r="F16" s="473"/>
      <c r="G16" s="473"/>
      <c r="H16" s="473"/>
      <c r="I16" s="473"/>
      <c r="J16" s="473"/>
      <c r="K16" s="473"/>
      <c r="L16" s="473"/>
      <c r="M16" s="473"/>
    </row>
    <row r="17" spans="1:13">
      <c r="A17" s="474">
        <f>'Cost of Equity'!A55</f>
        <v>40329</v>
      </c>
      <c r="B17" s="473">
        <f>'Cost of Equity'!AQ55</f>
        <v>-5.5388380132376618E-2</v>
      </c>
      <c r="C17" s="473">
        <f>'Cost of Equity'!W55</f>
        <v>-9.4471447375003653E-2</v>
      </c>
      <c r="E17" s="444"/>
      <c r="F17" s="444" t="s">
        <v>361</v>
      </c>
      <c r="G17" s="444" t="s">
        <v>351</v>
      </c>
      <c r="H17" s="444" t="s">
        <v>362</v>
      </c>
      <c r="I17" s="444" t="s">
        <v>363</v>
      </c>
      <c r="J17" s="444" t="s">
        <v>364</v>
      </c>
      <c r="K17" s="444" t="s">
        <v>365</v>
      </c>
      <c r="L17" s="444" t="s">
        <v>366</v>
      </c>
      <c r="M17" s="444" t="s">
        <v>367</v>
      </c>
    </row>
    <row r="18" spans="1:13">
      <c r="A18" s="474">
        <f>'Cost of Equity'!A56</f>
        <v>40359</v>
      </c>
      <c r="B18" s="473">
        <f>'Cost of Equity'!AQ56</f>
        <v>6.6515783274589638E-2</v>
      </c>
      <c r="C18" s="473">
        <f>'Cost of Equity'!W56</f>
        <v>3.812965302765807E-2</v>
      </c>
      <c r="E18" s="442" t="s">
        <v>368</v>
      </c>
      <c r="F18" s="442">
        <v>-7.4620165512068494E-3</v>
      </c>
      <c r="G18" s="442">
        <v>1.3739064433231318E-2</v>
      </c>
      <c r="H18" s="442">
        <v>-0.5431240669603471</v>
      </c>
      <c r="I18" s="442">
        <v>0.5888740462915143</v>
      </c>
      <c r="J18" s="442">
        <v>-3.4892943748289711E-2</v>
      </c>
      <c r="K18" s="442">
        <v>1.9968910645876012E-2</v>
      </c>
      <c r="L18" s="442">
        <v>-3.4892943748289711E-2</v>
      </c>
      <c r="M18" s="442">
        <v>1.9968910645876012E-2</v>
      </c>
    </row>
    <row r="19" spans="1:13" ht="15.75" thickBot="1">
      <c r="A19" s="474">
        <f>'Cost of Equity'!A57</f>
        <v>40389</v>
      </c>
      <c r="B19" s="473">
        <f>'Cost of Equity'!AQ57</f>
        <v>-4.8611803170382606E-2</v>
      </c>
      <c r="C19" s="473">
        <f>'Cost of Equity'!W57</f>
        <v>0.10352286346645365</v>
      </c>
      <c r="E19" s="443" t="s">
        <v>369</v>
      </c>
      <c r="F19" s="443">
        <v>2.5170925281098255</v>
      </c>
      <c r="G19" s="443">
        <v>0.33183020899829152</v>
      </c>
      <c r="H19" s="443">
        <v>7.5854833582158436</v>
      </c>
      <c r="I19" s="443">
        <v>1.4613184659533658E-10</v>
      </c>
      <c r="J19" s="443">
        <v>1.8545721396903274</v>
      </c>
      <c r="K19" s="443">
        <v>3.1796129165293237</v>
      </c>
      <c r="L19" s="443">
        <v>1.8545721396903274</v>
      </c>
      <c r="M19" s="443">
        <v>3.1796129165293237</v>
      </c>
    </row>
    <row r="20" spans="1:13">
      <c r="A20" s="474">
        <f>'Cost of Equity'!A58</f>
        <v>40421</v>
      </c>
      <c r="B20" s="473">
        <f>'Cost of Equity'!AQ58</f>
        <v>8.3928475095282604E-2</v>
      </c>
      <c r="C20" s="473">
        <f>'Cost of Equity'!W58</f>
        <v>2.43741442566917E-2</v>
      </c>
    </row>
    <row r="21" spans="1:13">
      <c r="A21" s="474">
        <f>'Cost of Equity'!A59</f>
        <v>40451</v>
      </c>
      <c r="B21" s="473">
        <f>'Cost of Equity'!AQ59</f>
        <v>3.6193000710687595E-2</v>
      </c>
      <c r="C21" s="473">
        <f>'Cost of Equity'!W59</f>
        <v>8.6911376989629696E-2</v>
      </c>
    </row>
    <row r="22" spans="1:13">
      <c r="A22" s="474">
        <f>'Cost of Equity'!A60</f>
        <v>40480</v>
      </c>
      <c r="B22" s="473">
        <f>'Cost of Equity'!AQ60</f>
        <v>-2.2929094870601432E-3</v>
      </c>
      <c r="C22" s="473">
        <f>'Cost of Equity'!W60</f>
        <v>-4.6848225189305787E-2</v>
      </c>
    </row>
    <row r="23" spans="1:13">
      <c r="A23" s="474">
        <f>'Cost of Equity'!A61</f>
        <v>40512</v>
      </c>
      <c r="B23" s="473">
        <f>'Cost of Equity'!AQ61</f>
        <v>6.3256517221926059E-2</v>
      </c>
      <c r="C23" s="473">
        <f>'Cost of Equity'!W61</f>
        <v>1.1754763696083177E-2</v>
      </c>
    </row>
    <row r="24" spans="1:13">
      <c r="A24" s="474">
        <f>'Cost of Equity'!A62</f>
        <v>40542</v>
      </c>
      <c r="B24" s="473">
        <f>'Cost of Equity'!AQ62</f>
        <v>2.239298525651701E-2</v>
      </c>
      <c r="C24" s="473">
        <f>'Cost of Equity'!W62</f>
        <v>7.3708877742896264E-2</v>
      </c>
    </row>
    <row r="25" spans="1:13">
      <c r="A25" s="474">
        <f>'Cost of Equity'!A63</f>
        <v>40574</v>
      </c>
      <c r="B25" s="473">
        <f>'Cost of Equity'!AQ63</f>
        <v>3.1456595040144836E-2</v>
      </c>
      <c r="C25" s="473">
        <f>'Cost of Equity'!W63</f>
        <v>-6.6262576731630413E-2</v>
      </c>
    </row>
    <row r="26" spans="1:13">
      <c r="A26" s="474">
        <f>'Cost of Equity'!A64</f>
        <v>40602</v>
      </c>
      <c r="B26" s="473">
        <f>'Cost of Equity'!AQ64</f>
        <v>-1.0478506829378123E-3</v>
      </c>
      <c r="C26" s="473">
        <f>'Cost of Equity'!W64</f>
        <v>-2.5265910698126216E-2</v>
      </c>
    </row>
    <row r="27" spans="1:13">
      <c r="A27" s="474">
        <f>'Cost of Equity'!A65</f>
        <v>40633</v>
      </c>
      <c r="B27" s="473">
        <f>'Cost of Equity'!AQ65</f>
        <v>2.809691636712916E-2</v>
      </c>
      <c r="C27" s="473">
        <f>'Cost of Equity'!W65</f>
        <v>3.5399348738021058E-2</v>
      </c>
    </row>
    <row r="28" spans="1:13">
      <c r="A28" s="474">
        <f>'Cost of Equity'!A66</f>
        <v>40662</v>
      </c>
      <c r="B28" s="473">
        <f>'Cost of Equity'!AQ66</f>
        <v>-1.3592893899637262E-2</v>
      </c>
      <c r="C28" s="473">
        <f>'Cost of Equity'!W66</f>
        <v>7.0455260839644845E-2</v>
      </c>
    </row>
    <row r="29" spans="1:13">
      <c r="A29" s="474">
        <f>'Cost of Equity'!A67</f>
        <v>40694</v>
      </c>
      <c r="B29" s="473">
        <f>'Cost of Equity'!AQ67</f>
        <v>-1.8426233301897538E-2</v>
      </c>
      <c r="C29" s="473">
        <f>'Cost of Equity'!W67</f>
        <v>-8.72350781064124E-3</v>
      </c>
    </row>
    <row r="30" spans="1:13">
      <c r="A30" s="474">
        <f>'Cost of Equity'!A68</f>
        <v>40724</v>
      </c>
      <c r="B30" s="473">
        <f>'Cost of Equity'!AQ68</f>
        <v>-2.1708367435427242E-2</v>
      </c>
      <c r="C30" s="473">
        <f>'Cost of Equity'!W68</f>
        <v>-3.6247635873289039E-2</v>
      </c>
    </row>
    <row r="31" spans="1:13">
      <c r="A31" s="474">
        <f>'Cost of Equity'!A69</f>
        <v>40753</v>
      </c>
      <c r="B31" s="473">
        <f>'Cost of Equity'!AQ69</f>
        <v>-5.8467491619120418E-2</v>
      </c>
      <c r="C31" s="473">
        <f>'Cost of Equity'!W69</f>
        <v>-0.17790487072514796</v>
      </c>
    </row>
    <row r="32" spans="1:13">
      <c r="A32" s="474">
        <f>'Cost of Equity'!A70</f>
        <v>40786</v>
      </c>
      <c r="B32" s="473">
        <f>'Cost of Equity'!AQ70</f>
        <v>-7.4467127542783104E-2</v>
      </c>
      <c r="C32" s="473">
        <f>'Cost of Equity'!W70</f>
        <v>-6.5679251635027067E-2</v>
      </c>
    </row>
    <row r="33" spans="1:3">
      <c r="A33" s="474">
        <f>'Cost of Equity'!A71</f>
        <v>40816</v>
      </c>
      <c r="B33" s="473">
        <f>'Cost of Equity'!AQ71</f>
        <v>0.10230659165059017</v>
      </c>
      <c r="C33" s="473">
        <f>'Cost of Equity'!W71</f>
        <v>-0.14741119183212012</v>
      </c>
    </row>
    <row r="34" spans="1:3">
      <c r="A34" s="474">
        <f>'Cost of Equity'!A72</f>
        <v>40847</v>
      </c>
      <c r="B34" s="473">
        <f>'Cost of Equity'!AQ72</f>
        <v>-5.0714834366809821E-3</v>
      </c>
      <c r="C34" s="473">
        <f>'Cost of Equity'!W72</f>
        <v>0.10269058244542432</v>
      </c>
    </row>
    <row r="35" spans="1:3">
      <c r="A35" s="474">
        <f>'Cost of Equity'!A73</f>
        <v>40877</v>
      </c>
      <c r="B35" s="473">
        <f>'Cost of Equity'!AQ73</f>
        <v>8.4965534941463527E-3</v>
      </c>
      <c r="C35" s="473">
        <f>'Cost of Equity'!W73</f>
        <v>0.21939478070778662</v>
      </c>
    </row>
    <row r="36" spans="1:3">
      <c r="A36" s="474">
        <f>'Cost of Equity'!A74</f>
        <v>40907</v>
      </c>
      <c r="B36" s="473">
        <f>'Cost of Equity'!AQ74</f>
        <v>4.2659999011137491E-2</v>
      </c>
      <c r="C36" s="473">
        <f>'Cost of Equity'!W74</f>
        <v>-1E-4</v>
      </c>
    </row>
    <row r="37" spans="1:3">
      <c r="A37" s="474">
        <f>'Cost of Equity'!A75</f>
        <v>40939</v>
      </c>
      <c r="B37" s="473">
        <f>'Cost of Equity'!AQ75</f>
        <v>3.9787331386417914E-2</v>
      </c>
      <c r="C37" s="473">
        <f>'Cost of Equity'!W75</f>
        <v>-1E-4</v>
      </c>
    </row>
    <row r="38" spans="1:3">
      <c r="A38" s="474">
        <f>'Cost of Equity'!A76</f>
        <v>40968</v>
      </c>
      <c r="B38" s="473">
        <f>'Cost of Equity'!AQ76</f>
        <v>3.0851535762571346E-2</v>
      </c>
      <c r="C38" s="473">
        <f>'Cost of Equity'!W76</f>
        <v>-1E-4</v>
      </c>
    </row>
    <row r="39" spans="1:3">
      <c r="A39" s="474">
        <f>'Cost of Equity'!A77</f>
        <v>40998</v>
      </c>
      <c r="B39" s="473">
        <f>'Cost of Equity'!AQ77</f>
        <v>-7.5257447960486246E-3</v>
      </c>
      <c r="C39" s="473">
        <f>'Cost of Equity'!W77</f>
        <v>-1E-4</v>
      </c>
    </row>
    <row r="40" spans="1:3">
      <c r="A40" s="474">
        <f>'Cost of Equity'!A78</f>
        <v>41029</v>
      </c>
      <c r="B40" s="473">
        <f>'Cost of Equity'!AQ78</f>
        <v>-6.4699250170469236E-2</v>
      </c>
      <c r="C40" s="473">
        <f>'Cost of Equity'!W78</f>
        <v>-1E-4</v>
      </c>
    </row>
    <row r="41" spans="1:3">
      <c r="A41" s="474">
        <f>'Cost of Equity'!A79</f>
        <v>41060</v>
      </c>
      <c r="B41" s="473">
        <f>'Cost of Equity'!AQ79</f>
        <v>3.8792661243837456E-2</v>
      </c>
      <c r="C41" s="473">
        <f>'Cost of Equity'!W79</f>
        <v>2.578582844829836E-2</v>
      </c>
    </row>
    <row r="42" spans="1:3">
      <c r="A42" s="474">
        <f>'Cost of Equity'!A80</f>
        <v>41089</v>
      </c>
      <c r="B42" s="473">
        <f>'Cost of Equity'!AQ80</f>
        <v>1.2518948972710817E-2</v>
      </c>
      <c r="C42" s="473">
        <f>'Cost of Equity'!W80</f>
        <v>-1E-4</v>
      </c>
    </row>
    <row r="43" spans="1:3">
      <c r="A43" s="474">
        <f>'Cost of Equity'!A81</f>
        <v>41121</v>
      </c>
      <c r="B43" s="473">
        <f>'Cost of Equity'!AQ81</f>
        <v>1.9570602004381984E-2</v>
      </c>
      <c r="C43" s="473">
        <f>'Cost of Equity'!W81</f>
        <v>-1E-4</v>
      </c>
    </row>
    <row r="44" spans="1:3">
      <c r="A44" s="474">
        <f>'Cost of Equity'!A82</f>
        <v>41152</v>
      </c>
      <c r="B44" s="473">
        <f>'Cost of Equity'!AQ82</f>
        <v>2.394705705020073E-2</v>
      </c>
      <c r="C44" s="473">
        <f>'Cost of Equity'!W82</f>
        <v>-1E-4</v>
      </c>
    </row>
    <row r="45" spans="1:3">
      <c r="A45" s="474">
        <f>'Cost of Equity'!A83</f>
        <v>41180</v>
      </c>
      <c r="B45" s="473">
        <f>'Cost of Equity'!AQ83</f>
        <v>-1.9987836058499683E-2</v>
      </c>
      <c r="C45" s="473">
        <f>'Cost of Equity'!W83</f>
        <v>-1E-4</v>
      </c>
    </row>
    <row r="46" spans="1:3">
      <c r="A46" s="474">
        <f>'Cost of Equity'!A84</f>
        <v>41213</v>
      </c>
      <c r="B46" s="473">
        <f>'Cost of Equity'!AQ84</f>
        <v>2.8426587376603443E-3</v>
      </c>
      <c r="C46" s="473">
        <f>'Cost of Equity'!W84</f>
        <v>-1E-4</v>
      </c>
    </row>
    <row r="47" spans="1:3">
      <c r="A47" s="474">
        <f>'Cost of Equity'!A85</f>
        <v>41243</v>
      </c>
      <c r="B47" s="473">
        <f>'Cost of Equity'!AQ85</f>
        <v>7.0434471114575181E-3</v>
      </c>
      <c r="C47" s="473">
        <f>'Cost of Equity'!W85</f>
        <v>-1E-4</v>
      </c>
    </row>
    <row r="48" spans="1:3">
      <c r="A48" s="474">
        <f>'Cost of Equity'!A86</f>
        <v>41271</v>
      </c>
      <c r="B48" s="473">
        <f>'Cost of Equity'!AQ86</f>
        <v>4.9197760692578335E-2</v>
      </c>
      <c r="C48" s="473">
        <f>'Cost of Equity'!W86</f>
        <v>-1E-4</v>
      </c>
    </row>
    <row r="49" spans="1:3">
      <c r="A49" s="474">
        <f>'Cost of Equity'!A87</f>
        <v>41305</v>
      </c>
      <c r="B49" s="473">
        <f>'Cost of Equity'!AQ87</f>
        <v>1.0999881888155871E-2</v>
      </c>
      <c r="C49" s="473">
        <f>'Cost of Equity'!W87</f>
        <v>-1E-4</v>
      </c>
    </row>
    <row r="50" spans="1:3">
      <c r="A50" s="474">
        <f>'Cost of Equity'!A88</f>
        <v>41333</v>
      </c>
      <c r="B50" s="473">
        <f>'Cost of Equity'!AQ88</f>
        <v>3.535536713008354E-2</v>
      </c>
      <c r="C50" s="473">
        <f>'Cost of Equity'!W88</f>
        <v>-1E-4</v>
      </c>
    </row>
    <row r="51" spans="1:3">
      <c r="A51" s="474">
        <f>'Cost of Equity'!A89</f>
        <v>41361</v>
      </c>
      <c r="B51" s="473">
        <f>'Cost of Equity'!AQ89</f>
        <v>1.7924162116924588E-2</v>
      </c>
      <c r="C51" s="473">
        <f>'Cost of Equity'!W89</f>
        <v>-1E-4</v>
      </c>
    </row>
    <row r="52" spans="1:3">
      <c r="A52" s="474">
        <f>'Cost of Equity'!A90</f>
        <v>41394</v>
      </c>
      <c r="B52" s="473">
        <f>'Cost of Equity'!AQ90</f>
        <v>2.0550174751576469E-2</v>
      </c>
      <c r="C52" s="473">
        <f>'Cost of Equity'!W90</f>
        <v>-1E-4</v>
      </c>
    </row>
    <row r="53" spans="1:3">
      <c r="A53" s="474">
        <f>'Cost of Equity'!A91</f>
        <v>41425</v>
      </c>
      <c r="B53" s="473">
        <f>'Cost of Equity'!AQ91</f>
        <v>-1.5112952997701294E-2</v>
      </c>
      <c r="C53" s="473">
        <f>'Cost of Equity'!W91</f>
        <v>2.4528395855090646E-2</v>
      </c>
    </row>
    <row r="54" spans="1:3">
      <c r="A54" s="474">
        <f>'Cost of Equity'!A92</f>
        <v>41453</v>
      </c>
      <c r="B54" s="473">
        <f>'Cost of Equity'!AQ92</f>
        <v>4.8277757876973679E-2</v>
      </c>
      <c r="C54" s="473">
        <f>'Cost of Equity'!W92</f>
        <v>-1E-4</v>
      </c>
    </row>
    <row r="55" spans="1:3">
      <c r="A55" s="474">
        <f>'Cost of Equity'!A93</f>
        <v>41486</v>
      </c>
      <c r="B55" s="473">
        <f>'Cost of Equity'!AQ93</f>
        <v>-3.179826168331884E-2</v>
      </c>
      <c r="C55" s="473">
        <f>'Cost of Equity'!W93</f>
        <v>-8.9026065434229164E-3</v>
      </c>
    </row>
    <row r="56" spans="1:3">
      <c r="A56" s="474">
        <f>'Cost of Equity'!A94</f>
        <v>41516</v>
      </c>
      <c r="B56" s="473">
        <f>'Cost of Equity'!AQ94</f>
        <v>2.9315544388002535E-2</v>
      </c>
      <c r="C56" s="473">
        <f>'Cost of Equity'!W94</f>
        <v>-2.4714490641970357E-2</v>
      </c>
    </row>
    <row r="57" spans="1:3">
      <c r="A57" s="474">
        <f>'Cost of Equity'!A95</f>
        <v>41547</v>
      </c>
      <c r="B57" s="473">
        <f>'Cost of Equity'!AQ95</f>
        <v>4.3629977912082465E-2</v>
      </c>
      <c r="C57" s="473">
        <f>'Cost of Equity'!W95</f>
        <v>3.836628082779614E-2</v>
      </c>
    </row>
    <row r="58" spans="1:3">
      <c r="A58" s="474">
        <f>'Cost of Equity'!A96</f>
        <v>41578</v>
      </c>
      <c r="B58" s="473">
        <f>'Cost of Equity'!AQ96</f>
        <v>2.7663279564206007E-2</v>
      </c>
      <c r="C58" s="473">
        <f>'Cost of Equity'!W96</f>
        <v>-5.7652033665779007E-2</v>
      </c>
    </row>
    <row r="59" spans="1:3">
      <c r="A59" s="474">
        <f>'Cost of Equity'!A97</f>
        <v>41607</v>
      </c>
      <c r="B59" s="473">
        <f>'Cost of Equity'!AQ97</f>
        <v>2.328951485450324E-2</v>
      </c>
      <c r="C59" s="473">
        <f>'Cost of Equity'!W97</f>
        <v>6.9592490671073373E-4</v>
      </c>
    </row>
    <row r="60" spans="1:3">
      <c r="A60" s="474">
        <f>'Cost of Equity'!A98</f>
        <v>41638</v>
      </c>
      <c r="B60" s="473">
        <f>'Cost of Equity'!AQ98</f>
        <v>-3.6231396526946812E-2</v>
      </c>
      <c r="C60" s="473">
        <f>'Cost of Equity'!W98</f>
        <v>-3.2934908306401105E-2</v>
      </c>
    </row>
    <row r="61" spans="1:3">
      <c r="A61" s="474">
        <f>'Cost of Equity'!A99</f>
        <v>41670</v>
      </c>
      <c r="B61" s="473">
        <f>'Cost of Equity'!AQ99</f>
        <v>4.2213382157548759E-2</v>
      </c>
      <c r="C61" s="473">
        <f>'Cost of Equity'!W99</f>
        <v>6.3754862354328493E-2</v>
      </c>
    </row>
    <row r="62" spans="1:3">
      <c r="A62" s="474">
        <f>'Cost of Equity'!A100</f>
        <v>41698</v>
      </c>
      <c r="B62" s="473">
        <f>'Cost of Equity'!AQ100</f>
        <v>6.9082404225633224E-3</v>
      </c>
      <c r="C62" s="473">
        <f>'Cost of Equity'!W100</f>
        <v>0.38376835401002873</v>
      </c>
    </row>
    <row r="63" spans="1:3">
      <c r="A63" s="474">
        <f>'Cost of Equity'!A101</f>
        <v>41729</v>
      </c>
      <c r="B63" s="473">
        <f>'Cost of Equity'!AQ101</f>
        <v>6.1816510284721333E-3</v>
      </c>
      <c r="C63" s="473">
        <f>'Cost of Equity'!W101</f>
        <v>-3.5230727901756125E-2</v>
      </c>
    </row>
    <row r="64" spans="1:3">
      <c r="A64" s="474">
        <f>'Cost of Equity'!A102</f>
        <v>41759</v>
      </c>
      <c r="B64" s="473">
        <f>'Cost of Equity'!AQ102</f>
        <v>2.0812198017934665E-2</v>
      </c>
      <c r="C64" s="473">
        <f>'Cost of Equity'!W102</f>
        <v>3.5030727901756077E-2</v>
      </c>
    </row>
    <row r="65" spans="1:3">
      <c r="A65" s="474">
        <f>'Cost of Equity'!A103</f>
        <v>41789</v>
      </c>
      <c r="B65" s="473">
        <f>'Cost of Equity'!AQ103</f>
        <v>1.8878978754786419E-2</v>
      </c>
      <c r="C65" s="473">
        <f>'Cost of Equity'!W103</f>
        <v>3.3381118623450882E-2</v>
      </c>
    </row>
    <row r="66" spans="1:3">
      <c r="A66" s="474">
        <f>'Cost of Equity'!A104</f>
        <v>41820</v>
      </c>
      <c r="B66" s="473">
        <f>'Cost of Equity'!AQ104</f>
        <v>-1.5194720363435775E-2</v>
      </c>
      <c r="C66" s="473">
        <f>'Cost of Equity'!W104</f>
        <v>-1.1167769050869465E-3</v>
      </c>
    </row>
    <row r="67" spans="1:3">
      <c r="A67" s="474">
        <f>'Cost of Equity'!A105</f>
        <v>41851</v>
      </c>
      <c r="B67" s="473">
        <f>'Cost of Equity'!AQ105</f>
        <v>3.6963669606978507E-2</v>
      </c>
      <c r="C67" s="473">
        <f>'Cost of Equity'!W105</f>
        <v>-1.3792985381384215</v>
      </c>
    </row>
    <row r="68" spans="1:3">
      <c r="A68" s="474">
        <f>'Cost of Equity'!A106</f>
        <v>41880</v>
      </c>
      <c r="B68" s="473">
        <f>'Cost of Equity'!AQ106</f>
        <v>-1.563545834824645E-2</v>
      </c>
      <c r="C68" s="473">
        <f>'Cost of Equity'!W106</f>
        <v>-0.11811033421401616</v>
      </c>
    </row>
    <row r="69" spans="1:3">
      <c r="A69" s="474">
        <f>'Cost of Equity'!A107</f>
        <v>41912</v>
      </c>
      <c r="B69" s="473">
        <f>'Cost of Equity'!AQ107</f>
        <v>-1.3337103869609681E-2</v>
      </c>
      <c r="C69" s="473">
        <f>'Cost of Equity'!W107</f>
        <v>-1.5909700352184364E-2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P65"/>
  <sheetViews>
    <sheetView topLeftCell="B1" zoomScale="80" zoomScaleNormal="80" zoomScalePageLayoutView="80" workbookViewId="0">
      <selection activeCell="G14" sqref="G14"/>
    </sheetView>
  </sheetViews>
  <sheetFormatPr defaultColWidth="9.140625" defaultRowHeight="14.25" outlineLevelRow="1"/>
  <cols>
    <col min="1" max="1" width="37.42578125" style="271" bestFit="1" customWidth="1"/>
    <col min="2" max="2" width="12.28515625" style="271" bestFit="1" customWidth="1"/>
    <col min="3" max="3" width="24.42578125" style="271" bestFit="1" customWidth="1"/>
    <col min="4" max="4" width="2.7109375" style="274" customWidth="1"/>
    <col min="5" max="5" width="31.28515625" style="271" bestFit="1" customWidth="1"/>
    <col min="6" max="9" width="21.42578125" style="271" bestFit="1" customWidth="1"/>
    <col min="10" max="10" width="3.140625" style="274" bestFit="1" customWidth="1"/>
    <col min="11" max="11" width="50" style="271" bestFit="1" customWidth="1"/>
    <col min="12" max="12" width="12.85546875" style="271" bestFit="1" customWidth="1"/>
    <col min="13" max="13" width="19" style="271" bestFit="1" customWidth="1"/>
    <col min="14" max="14" width="22.42578125" style="271" bestFit="1" customWidth="1"/>
    <col min="15" max="15" width="21.42578125" style="271" bestFit="1" customWidth="1"/>
    <col min="16" max="16" width="2.7109375" style="271" customWidth="1"/>
    <col min="17" max="16384" width="9.140625" style="271"/>
  </cols>
  <sheetData>
    <row r="1" spans="1:16" ht="15">
      <c r="A1" s="312" t="s">
        <v>219</v>
      </c>
      <c r="B1" s="313"/>
      <c r="C1" s="313"/>
      <c r="D1" s="270"/>
      <c r="E1" s="312" t="s">
        <v>220</v>
      </c>
      <c r="F1" s="313"/>
      <c r="G1" s="313"/>
      <c r="H1" s="313"/>
      <c r="I1" s="313"/>
      <c r="J1" s="270"/>
      <c r="K1" s="312" t="s">
        <v>221</v>
      </c>
      <c r="L1" s="313"/>
      <c r="M1" s="313"/>
      <c r="N1" s="313"/>
      <c r="O1" s="313"/>
      <c r="P1" s="270"/>
    </row>
    <row r="2" spans="1:16" ht="15">
      <c r="A2" s="272" t="s">
        <v>222</v>
      </c>
      <c r="B2" s="272"/>
      <c r="C2" s="272" t="s">
        <v>478</v>
      </c>
      <c r="D2" s="270"/>
      <c r="E2" s="274"/>
      <c r="F2" s="273">
        <v>2010</v>
      </c>
      <c r="G2" s="273">
        <v>2011</v>
      </c>
      <c r="H2" s="273">
        <v>2012</v>
      </c>
      <c r="I2" s="273">
        <v>2013</v>
      </c>
      <c r="J2" s="270"/>
      <c r="K2" s="274" t="s">
        <v>155</v>
      </c>
      <c r="L2" s="302"/>
      <c r="M2" s="302">
        <v>2630</v>
      </c>
      <c r="N2" s="302">
        <v>2698</v>
      </c>
      <c r="O2" s="302">
        <v>2929</v>
      </c>
      <c r="P2" s="270"/>
    </row>
    <row r="3" spans="1:16" ht="15">
      <c r="A3" s="274" t="s">
        <v>204</v>
      </c>
      <c r="B3" s="274"/>
      <c r="C3" s="274" t="s">
        <v>489</v>
      </c>
      <c r="D3" s="270"/>
      <c r="E3" s="272" t="s">
        <v>224</v>
      </c>
      <c r="F3" s="276"/>
      <c r="G3" s="276">
        <v>87686</v>
      </c>
      <c r="H3" s="276">
        <v>79603</v>
      </c>
      <c r="I3" s="276">
        <v>86847</v>
      </c>
      <c r="J3" s="270"/>
      <c r="K3" s="279" t="s">
        <v>227</v>
      </c>
      <c r="L3" s="292" t="str">
        <f t="shared" ref="L3:O3" ca="1" si="0">IFERROR(L2/L$3,"")</f>
        <v/>
      </c>
      <c r="M3" s="292">
        <f t="shared" ca="1" si="0"/>
        <v>2.9993385489131674E-2</v>
      </c>
      <c r="N3" s="292">
        <f t="shared" ca="1" si="0"/>
        <v>3.3893194980088692E-2</v>
      </c>
      <c r="O3" s="292">
        <f t="shared" ca="1" si="0"/>
        <v>3.3725977869126164E-2</v>
      </c>
      <c r="P3" s="270"/>
    </row>
    <row r="4" spans="1:16">
      <c r="A4" s="274" t="s">
        <v>225</v>
      </c>
      <c r="B4" s="274"/>
      <c r="C4" s="274" t="s">
        <v>294</v>
      </c>
      <c r="D4" s="270"/>
      <c r="E4" s="274" t="s">
        <v>177</v>
      </c>
      <c r="F4" s="277"/>
      <c r="G4" s="277">
        <v>63163</v>
      </c>
      <c r="H4" s="277">
        <v>58927</v>
      </c>
      <c r="I4" s="277">
        <v>65303</v>
      </c>
      <c r="J4" s="270"/>
      <c r="K4" s="274" t="s">
        <v>150</v>
      </c>
      <c r="L4" s="302">
        <v>0</v>
      </c>
      <c r="M4" s="302">
        <v>0</v>
      </c>
      <c r="N4" s="302">
        <v>0</v>
      </c>
      <c r="O4" s="302">
        <v>397000000</v>
      </c>
      <c r="P4" s="270"/>
    </row>
    <row r="5" spans="1:16" ht="15">
      <c r="A5" s="274" t="s">
        <v>228</v>
      </c>
      <c r="B5" s="274"/>
      <c r="C5" s="283" t="s">
        <v>295</v>
      </c>
      <c r="D5" s="270"/>
      <c r="E5" s="272" t="s">
        <v>63</v>
      </c>
      <c r="F5" s="276">
        <f>F3-F4</f>
        <v>0</v>
      </c>
      <c r="G5" s="276">
        <f>G3-G4</f>
        <v>24523</v>
      </c>
      <c r="H5" s="276">
        <f>H3-H4</f>
        <v>20676</v>
      </c>
      <c r="I5" s="276">
        <f>I3-I4</f>
        <v>21544</v>
      </c>
      <c r="J5" s="270"/>
      <c r="K5" s="279" t="s">
        <v>227</v>
      </c>
      <c r="L5" s="292" t="str">
        <f t="shared" ref="L5:O5" ca="1" si="1">IFERROR(L4/L$3,"")</f>
        <v/>
      </c>
      <c r="M5" s="292">
        <f t="shared" ca="1" si="1"/>
        <v>0</v>
      </c>
      <c r="N5" s="292">
        <f t="shared" ca="1" si="1"/>
        <v>0</v>
      </c>
      <c r="O5" s="292">
        <f t="shared" ca="1" si="1"/>
        <v>11771341413.451691</v>
      </c>
      <c r="P5" s="270"/>
    </row>
    <row r="6" spans="1:16">
      <c r="A6" s="274" t="s">
        <v>229</v>
      </c>
      <c r="B6" s="274"/>
      <c r="C6" s="274"/>
      <c r="D6" s="270"/>
      <c r="E6" s="274" t="s">
        <v>231</v>
      </c>
      <c r="F6" s="277"/>
      <c r="G6" s="277">
        <v>8218</v>
      </c>
      <c r="H6" s="277">
        <v>8328</v>
      </c>
      <c r="I6" s="277">
        <v>8805</v>
      </c>
      <c r="J6" s="270"/>
      <c r="K6" s="279"/>
      <c r="L6" s="292"/>
      <c r="M6" s="292"/>
      <c r="N6" s="292"/>
      <c r="O6" s="292"/>
      <c r="P6" s="270"/>
    </row>
    <row r="7" spans="1:16">
      <c r="A7" s="274" t="s">
        <v>232</v>
      </c>
      <c r="B7" s="274"/>
      <c r="C7" s="274"/>
      <c r="D7" s="270"/>
      <c r="E7" s="274" t="s">
        <v>233</v>
      </c>
      <c r="F7" s="277"/>
      <c r="G7" s="277">
        <v>4424</v>
      </c>
      <c r="H7" s="277">
        <v>4654</v>
      </c>
      <c r="I7" s="277">
        <v>5003</v>
      </c>
      <c r="J7" s="270"/>
      <c r="K7" s="270"/>
      <c r="L7" s="270"/>
      <c r="M7" s="270"/>
      <c r="N7" s="270"/>
      <c r="O7" s="270"/>
      <c r="P7" s="270"/>
    </row>
    <row r="8" spans="1:16" ht="15">
      <c r="A8" s="274" t="s">
        <v>234</v>
      </c>
      <c r="B8" s="274"/>
      <c r="C8" s="422">
        <f>'Scania Regression'!F19</f>
        <v>0.13510957298842591</v>
      </c>
      <c r="D8" s="270"/>
      <c r="E8" s="272" t="s">
        <v>195</v>
      </c>
      <c r="F8" s="276">
        <f>F5-F6-F7</f>
        <v>0</v>
      </c>
      <c r="G8" s="276">
        <f>G5-G6-G7</f>
        <v>11881</v>
      </c>
      <c r="H8" s="276">
        <f>H5-H6-H7</f>
        <v>7694</v>
      </c>
      <c r="I8" s="276">
        <f>I5-I6-I7</f>
        <v>7736</v>
      </c>
      <c r="J8" s="270"/>
      <c r="K8" s="312" t="s">
        <v>236</v>
      </c>
      <c r="L8" s="313"/>
      <c r="M8" s="313"/>
      <c r="N8" s="313"/>
      <c r="O8" s="313"/>
      <c r="P8" s="270"/>
    </row>
    <row r="9" spans="1:16" ht="15">
      <c r="A9" s="274" t="s">
        <v>24</v>
      </c>
      <c r="B9" s="274"/>
      <c r="C9" s="381">
        <v>0.22</v>
      </c>
      <c r="D9" s="270"/>
      <c r="E9" s="274" t="s">
        <v>488</v>
      </c>
      <c r="F9" s="277"/>
      <c r="G9" s="277">
        <f>517+214</f>
        <v>731</v>
      </c>
      <c r="H9" s="277">
        <f>606-19</f>
        <v>587</v>
      </c>
      <c r="I9" s="277">
        <f>719-47</f>
        <v>672</v>
      </c>
      <c r="J9" s="270"/>
      <c r="K9" s="274"/>
      <c r="L9" s="274"/>
      <c r="M9" s="274"/>
      <c r="N9" s="273">
        <v>2012</v>
      </c>
      <c r="O9" s="273">
        <v>2013</v>
      </c>
      <c r="P9" s="270"/>
    </row>
    <row r="10" spans="1:16" ht="15">
      <c r="A10" s="270"/>
      <c r="B10" s="270"/>
      <c r="C10" s="270"/>
      <c r="D10" s="270"/>
      <c r="E10" s="272" t="s">
        <v>237</v>
      </c>
      <c r="F10" s="277">
        <f>F8-F9</f>
        <v>0</v>
      </c>
      <c r="G10" s="277">
        <f>G8+G9</f>
        <v>12612</v>
      </c>
      <c r="H10" s="277">
        <f>H8+H9</f>
        <v>8281</v>
      </c>
      <c r="I10" s="277">
        <f>I8+I9</f>
        <v>8408</v>
      </c>
      <c r="J10" s="270"/>
      <c r="K10" s="274" t="s">
        <v>239</v>
      </c>
      <c r="L10" s="274"/>
      <c r="M10" s="274"/>
      <c r="N10" s="277">
        <v>11918</v>
      </c>
      <c r="O10" s="277">
        <v>9562</v>
      </c>
      <c r="P10" s="270"/>
    </row>
    <row r="11" spans="1:16" ht="15">
      <c r="A11" s="312" t="s">
        <v>238</v>
      </c>
      <c r="B11" s="313"/>
      <c r="C11" s="313"/>
      <c r="D11" s="270"/>
      <c r="E11" s="274" t="s">
        <v>59</v>
      </c>
      <c r="F11" s="277"/>
      <c r="G11" s="277">
        <v>3190</v>
      </c>
      <c r="H11" s="277">
        <v>1641</v>
      </c>
      <c r="I11" s="277">
        <v>2214</v>
      </c>
      <c r="J11" s="270"/>
      <c r="K11" s="274" t="s">
        <v>487</v>
      </c>
      <c r="L11" s="274"/>
      <c r="M11" s="274"/>
      <c r="N11" s="277">
        <v>24123</v>
      </c>
      <c r="O11" s="277">
        <v>25919</v>
      </c>
      <c r="P11" s="270"/>
    </row>
    <row r="12" spans="1:16">
      <c r="A12" s="274" t="s">
        <v>240</v>
      </c>
      <c r="B12" s="283">
        <v>41639</v>
      </c>
      <c r="C12" s="284">
        <v>125</v>
      </c>
      <c r="D12" s="270"/>
      <c r="E12" s="274" t="s">
        <v>241</v>
      </c>
      <c r="F12" s="277">
        <v>0</v>
      </c>
      <c r="G12" s="277">
        <v>0</v>
      </c>
      <c r="H12" s="277">
        <v>0</v>
      </c>
      <c r="I12" s="277">
        <v>0</v>
      </c>
      <c r="J12" s="270"/>
      <c r="K12" s="274" t="s">
        <v>105</v>
      </c>
      <c r="L12" s="274"/>
      <c r="M12" s="274"/>
      <c r="N12" s="277">
        <v>14235</v>
      </c>
      <c r="O12" s="277">
        <v>14552</v>
      </c>
      <c r="P12" s="270"/>
    </row>
    <row r="13" spans="1:16">
      <c r="A13" s="279" t="s">
        <v>243</v>
      </c>
      <c r="B13" s="274"/>
      <c r="C13" s="286">
        <f>C12/C14</f>
        <v>0.83333333333333337</v>
      </c>
      <c r="D13" s="270"/>
      <c r="E13" s="274" t="s">
        <v>244</v>
      </c>
      <c r="F13" s="277">
        <v>0</v>
      </c>
      <c r="G13" s="277">
        <v>0</v>
      </c>
      <c r="H13" s="277">
        <v>0</v>
      </c>
      <c r="I13" s="277">
        <v>0</v>
      </c>
      <c r="J13" s="270"/>
      <c r="K13" s="274" t="s">
        <v>246</v>
      </c>
      <c r="L13" s="274"/>
      <c r="M13" s="274"/>
      <c r="N13" s="277">
        <v>129</v>
      </c>
      <c r="O13" s="277">
        <v>47</v>
      </c>
      <c r="P13" s="270"/>
    </row>
    <row r="14" spans="1:16" ht="15">
      <c r="A14" s="274" t="s">
        <v>245</v>
      </c>
      <c r="B14" s="274"/>
      <c r="C14" s="284">
        <v>150</v>
      </c>
      <c r="D14" s="270"/>
      <c r="E14" s="272" t="s">
        <v>55</v>
      </c>
      <c r="F14" s="276">
        <f>F8-F9-F11</f>
        <v>0</v>
      </c>
      <c r="G14" s="276">
        <f>G8-G9-G11</f>
        <v>7960</v>
      </c>
      <c r="H14" s="276">
        <f>H8-H9-H11</f>
        <v>5466</v>
      </c>
      <c r="I14" s="276">
        <f>I8-I9-I11</f>
        <v>4850</v>
      </c>
      <c r="J14" s="270"/>
      <c r="K14" s="272" t="s">
        <v>248</v>
      </c>
      <c r="L14" s="272"/>
      <c r="M14" s="272"/>
      <c r="N14" s="276">
        <f>SUM(N10:N13)</f>
        <v>50405</v>
      </c>
      <c r="O14" s="276">
        <f>SUM(O10:O13)</f>
        <v>50080</v>
      </c>
      <c r="P14" s="270"/>
    </row>
    <row r="15" spans="1:16" ht="15">
      <c r="A15" s="274" t="s">
        <v>247</v>
      </c>
      <c r="B15" s="274"/>
      <c r="C15" s="284">
        <v>119.7</v>
      </c>
      <c r="D15" s="270"/>
      <c r="E15" s="272"/>
      <c r="F15" s="274"/>
      <c r="G15" s="274"/>
      <c r="H15" s="274"/>
      <c r="I15" s="274"/>
      <c r="J15" s="270"/>
      <c r="K15" s="274"/>
      <c r="L15" s="274"/>
      <c r="M15" s="274"/>
      <c r="N15" s="277"/>
      <c r="O15" s="276"/>
      <c r="P15" s="270"/>
    </row>
    <row r="16" spans="1:16">
      <c r="A16" s="274" t="s">
        <v>249</v>
      </c>
      <c r="B16" s="274"/>
      <c r="C16" s="284">
        <v>4</v>
      </c>
      <c r="D16" s="270"/>
      <c r="E16" s="274" t="s">
        <v>250</v>
      </c>
      <c r="F16" s="277">
        <v>0</v>
      </c>
      <c r="G16" s="277">
        <v>0</v>
      </c>
      <c r="H16" s="277">
        <v>0</v>
      </c>
      <c r="I16" s="277">
        <v>0</v>
      </c>
      <c r="J16" s="270"/>
      <c r="K16" s="274" t="s">
        <v>252</v>
      </c>
      <c r="L16" s="274"/>
      <c r="M16" s="274"/>
      <c r="N16" s="277"/>
      <c r="O16" s="277"/>
      <c r="P16" s="270"/>
    </row>
    <row r="17" spans="1:16">
      <c r="A17" s="274"/>
      <c r="B17" s="274"/>
      <c r="C17" s="274"/>
      <c r="D17" s="270"/>
      <c r="E17" s="274" t="s">
        <v>251</v>
      </c>
      <c r="F17" s="277">
        <v>0</v>
      </c>
      <c r="G17" s="277">
        <v>0</v>
      </c>
      <c r="H17" s="277">
        <v>0</v>
      </c>
      <c r="I17" s="277">
        <v>0</v>
      </c>
      <c r="J17" s="270"/>
      <c r="K17" s="274" t="s">
        <v>255</v>
      </c>
      <c r="L17" s="274"/>
      <c r="M17" s="274"/>
      <c r="N17" s="277">
        <v>3150</v>
      </c>
      <c r="O17" s="277">
        <v>4046</v>
      </c>
      <c r="P17" s="270"/>
    </row>
    <row r="18" spans="1:16">
      <c r="A18" s="274" t="s">
        <v>253</v>
      </c>
      <c r="B18" s="274"/>
      <c r="C18" s="302">
        <v>800000000</v>
      </c>
      <c r="D18" s="270"/>
      <c r="E18" s="274" t="s">
        <v>254</v>
      </c>
      <c r="F18" s="284"/>
      <c r="G18" s="284">
        <f>G14/($C$18/1000000)</f>
        <v>9.9499999999999993</v>
      </c>
      <c r="H18" s="284">
        <f>H14/($C$18/1000000)</f>
        <v>6.8324999999999996</v>
      </c>
      <c r="I18" s="284">
        <f>I14/($C$18/1000000)</f>
        <v>6.0625</v>
      </c>
      <c r="J18" s="270"/>
      <c r="K18" s="274" t="s">
        <v>257</v>
      </c>
      <c r="L18" s="274"/>
      <c r="M18" s="274"/>
      <c r="N18" s="277">
        <v>59577</v>
      </c>
      <c r="O18" s="277">
        <v>63939</v>
      </c>
      <c r="P18" s="270"/>
    </row>
    <row r="19" spans="1:16" ht="15">
      <c r="A19" s="272" t="s">
        <v>256</v>
      </c>
      <c r="B19" s="274"/>
      <c r="C19" s="289">
        <f>(C12*C18)/1000000</f>
        <v>100000</v>
      </c>
      <c r="D19" s="270"/>
      <c r="E19" s="274"/>
      <c r="F19" s="274"/>
      <c r="G19" s="274"/>
      <c r="H19" s="274"/>
      <c r="I19" s="291"/>
      <c r="J19" s="270"/>
      <c r="K19" s="272" t="s">
        <v>97</v>
      </c>
      <c r="L19" s="272"/>
      <c r="M19" s="272"/>
      <c r="N19" s="276">
        <f>N14+N16+N17+N18</f>
        <v>113132</v>
      </c>
      <c r="O19" s="276">
        <f>O14+O16+O17+O18</f>
        <v>118065</v>
      </c>
      <c r="P19" s="270"/>
    </row>
    <row r="20" spans="1:16">
      <c r="A20" s="274" t="s">
        <v>258</v>
      </c>
      <c r="B20" s="274"/>
      <c r="C20" s="284">
        <f>O28</f>
        <v>80953</v>
      </c>
      <c r="D20" s="270"/>
      <c r="E20" s="270"/>
      <c r="F20" s="270"/>
      <c r="G20" s="270"/>
      <c r="H20" s="270"/>
      <c r="I20" s="270"/>
      <c r="J20" s="270"/>
      <c r="K20" s="274"/>
      <c r="L20" s="274"/>
      <c r="M20" s="274"/>
      <c r="N20" s="277"/>
      <c r="O20" s="277"/>
      <c r="P20" s="270"/>
    </row>
    <row r="21" spans="1:16" ht="15">
      <c r="A21" s="274" t="s">
        <v>183</v>
      </c>
      <c r="B21" s="274"/>
      <c r="C21" s="284">
        <v>0</v>
      </c>
      <c r="D21" s="270"/>
      <c r="E21" s="312" t="s">
        <v>259</v>
      </c>
      <c r="F21" s="313"/>
      <c r="G21" s="313"/>
      <c r="H21" s="313"/>
      <c r="I21" s="313"/>
      <c r="J21" s="270"/>
      <c r="K21" s="274" t="s">
        <v>261</v>
      </c>
      <c r="L21" s="274"/>
      <c r="M21" s="274"/>
      <c r="N21" s="277">
        <v>1650</v>
      </c>
      <c r="O21" s="277">
        <v>1841</v>
      </c>
      <c r="P21" s="270"/>
    </row>
    <row r="22" spans="1:16">
      <c r="A22" s="274" t="s">
        <v>241</v>
      </c>
      <c r="B22" s="274"/>
      <c r="C22" s="284">
        <v>0</v>
      </c>
      <c r="D22" s="270"/>
      <c r="E22" s="274" t="s">
        <v>260</v>
      </c>
      <c r="F22" s="277">
        <f>F5</f>
        <v>0</v>
      </c>
      <c r="G22" s="277">
        <f>G5</f>
        <v>24523</v>
      </c>
      <c r="H22" s="277">
        <f>H5</f>
        <v>20676</v>
      </c>
      <c r="I22" s="277">
        <f>I5</f>
        <v>21544</v>
      </c>
      <c r="J22" s="270"/>
      <c r="K22" s="274" t="s">
        <v>263</v>
      </c>
      <c r="L22" s="274"/>
      <c r="M22" s="274"/>
      <c r="N22" s="277">
        <v>7473</v>
      </c>
      <c r="O22" s="277">
        <v>7817</v>
      </c>
      <c r="P22" s="270"/>
    </row>
    <row r="23" spans="1:16">
      <c r="A23" s="274" t="s">
        <v>239</v>
      </c>
      <c r="B23" s="274"/>
      <c r="C23" s="284">
        <f>O10</f>
        <v>9562</v>
      </c>
      <c r="D23" s="270"/>
      <c r="E23" s="274" t="s">
        <v>262</v>
      </c>
      <c r="F23" s="277">
        <v>0</v>
      </c>
      <c r="G23" s="277">
        <v>0</v>
      </c>
      <c r="H23" s="277">
        <v>0</v>
      </c>
      <c r="I23" s="277">
        <v>0</v>
      </c>
      <c r="J23" s="270"/>
      <c r="K23" s="274" t="s">
        <v>266</v>
      </c>
      <c r="L23" s="274"/>
      <c r="M23" s="274"/>
      <c r="N23" s="277">
        <v>27893</v>
      </c>
      <c r="O23" s="277">
        <v>27359</v>
      </c>
      <c r="P23" s="270"/>
    </row>
    <row r="24" spans="1:16" ht="15">
      <c r="A24" s="272" t="s">
        <v>264</v>
      </c>
      <c r="B24" s="274"/>
      <c r="C24" s="289">
        <f>(C19+C20)-C23</f>
        <v>171391</v>
      </c>
      <c r="D24" s="270"/>
      <c r="E24" s="272" t="s">
        <v>265</v>
      </c>
      <c r="F24" s="276">
        <f>F5</f>
        <v>0</v>
      </c>
      <c r="G24" s="276">
        <f>G5</f>
        <v>24523</v>
      </c>
      <c r="H24" s="276">
        <f>H5</f>
        <v>20676</v>
      </c>
      <c r="I24" s="276">
        <f>SUM(I22:I23)</f>
        <v>21544</v>
      </c>
      <c r="J24" s="270"/>
      <c r="K24" s="272" t="s">
        <v>94</v>
      </c>
      <c r="L24" s="272"/>
      <c r="M24" s="272"/>
      <c r="N24" s="276">
        <f>SUM(N21:N23)</f>
        <v>37016</v>
      </c>
      <c r="O24" s="276">
        <f>SUM(O21:O23)</f>
        <v>37017</v>
      </c>
      <c r="P24" s="270"/>
    </row>
    <row r="25" spans="1:16">
      <c r="A25" s="270"/>
      <c r="B25" s="270"/>
      <c r="C25" s="270"/>
      <c r="D25" s="270"/>
      <c r="E25" s="279" t="s">
        <v>154</v>
      </c>
      <c r="F25" s="292" t="str">
        <f>IFERROR(F24/F$3,"")</f>
        <v/>
      </c>
      <c r="G25" s="292">
        <f>IFERROR(G24/G$3,"")</f>
        <v>0.27966836211025703</v>
      </c>
      <c r="H25" s="292">
        <f>IFERROR(H24/H$3,"")</f>
        <v>0.25973895456201401</v>
      </c>
      <c r="I25" s="292">
        <f>IFERROR(I24/I$3,"")</f>
        <v>0.24806844220295463</v>
      </c>
      <c r="J25" s="270"/>
      <c r="K25" s="274"/>
      <c r="L25" s="274"/>
      <c r="M25" s="274"/>
      <c r="N25" s="277"/>
      <c r="O25" s="277"/>
      <c r="P25" s="270"/>
    </row>
    <row r="26" spans="1:16" ht="15">
      <c r="A26" s="312" t="s">
        <v>267</v>
      </c>
      <c r="B26" s="313"/>
      <c r="C26" s="313"/>
      <c r="D26" s="270"/>
      <c r="E26" s="274"/>
      <c r="F26" s="277"/>
      <c r="G26" s="277"/>
      <c r="H26" s="277"/>
      <c r="I26" s="277"/>
      <c r="J26" s="270"/>
      <c r="K26" s="274" t="s">
        <v>258</v>
      </c>
      <c r="L26" s="274"/>
      <c r="M26" s="274"/>
      <c r="N26" s="277">
        <v>41112</v>
      </c>
      <c r="O26" s="277">
        <v>43936</v>
      </c>
      <c r="P26" s="270"/>
    </row>
    <row r="27" spans="1:16" ht="15">
      <c r="A27" s="272"/>
      <c r="B27" s="273"/>
      <c r="C27" s="273">
        <v>2013</v>
      </c>
      <c r="D27" s="270"/>
      <c r="E27" s="274" t="s">
        <v>268</v>
      </c>
      <c r="F27" s="277">
        <f>F8</f>
        <v>0</v>
      </c>
      <c r="G27" s="277">
        <f>G8</f>
        <v>11881</v>
      </c>
      <c r="H27" s="277">
        <f>H8</f>
        <v>7694</v>
      </c>
      <c r="I27" s="277">
        <f>I8</f>
        <v>7736</v>
      </c>
      <c r="J27" s="270"/>
      <c r="K27" s="274" t="s">
        <v>269</v>
      </c>
      <c r="L27" s="274"/>
      <c r="M27" s="274"/>
      <c r="N27" s="277"/>
      <c r="O27" s="277"/>
      <c r="P27" s="270"/>
    </row>
    <row r="28" spans="1:16" ht="15">
      <c r="A28" s="272" t="s">
        <v>270</v>
      </c>
      <c r="B28" s="274"/>
      <c r="C28" s="321">
        <f>C24/I3</f>
        <v>1.973482100705839</v>
      </c>
      <c r="D28" s="270"/>
      <c r="E28" s="274" t="s">
        <v>262</v>
      </c>
      <c r="F28" s="277">
        <v>0</v>
      </c>
      <c r="G28" s="277">
        <v>0</v>
      </c>
      <c r="H28" s="277">
        <v>0</v>
      </c>
      <c r="I28" s="277">
        <v>0</v>
      </c>
      <c r="J28" s="270"/>
      <c r="K28" s="272" t="s">
        <v>88</v>
      </c>
      <c r="L28" s="272"/>
      <c r="M28" s="272"/>
      <c r="N28" s="276">
        <f>N24+N26+N27</f>
        <v>78128</v>
      </c>
      <c r="O28" s="276">
        <f>O24+O26+O27</f>
        <v>80953</v>
      </c>
      <c r="P28" s="270"/>
    </row>
    <row r="29" spans="1:16">
      <c r="A29" s="274"/>
      <c r="B29" s="274"/>
      <c r="C29" s="322"/>
      <c r="D29" s="270"/>
      <c r="E29" s="274" t="s">
        <v>271</v>
      </c>
      <c r="F29" s="277">
        <v>0</v>
      </c>
      <c r="G29" s="277">
        <v>0</v>
      </c>
      <c r="H29" s="277">
        <v>0</v>
      </c>
      <c r="I29" s="277">
        <v>0</v>
      </c>
      <c r="J29" s="270"/>
      <c r="K29" s="274"/>
      <c r="L29" s="274"/>
      <c r="M29" s="274"/>
      <c r="N29" s="277"/>
      <c r="O29" s="277"/>
      <c r="P29" s="270"/>
    </row>
    <row r="30" spans="1:16" ht="15">
      <c r="A30" s="272" t="s">
        <v>273</v>
      </c>
      <c r="B30" s="274"/>
      <c r="C30" s="321">
        <f>C24/I34</f>
        <v>16.070417252695734</v>
      </c>
      <c r="D30" s="270"/>
      <c r="E30" s="272" t="s">
        <v>272</v>
      </c>
      <c r="F30" s="276">
        <f>SUM(F27:F29)</f>
        <v>0</v>
      </c>
      <c r="G30" s="276">
        <f>SUM(G27:G29)</f>
        <v>11881</v>
      </c>
      <c r="H30" s="276">
        <f>SUM(H27:H29)</f>
        <v>7694</v>
      </c>
      <c r="I30" s="276">
        <f>SUM(I27:I29)</f>
        <v>7736</v>
      </c>
      <c r="J30" s="270"/>
      <c r="K30" s="274" t="s">
        <v>241</v>
      </c>
      <c r="L30" s="274"/>
      <c r="M30" s="274"/>
      <c r="N30" s="277">
        <v>62</v>
      </c>
      <c r="O30" s="277">
        <v>57</v>
      </c>
      <c r="P30" s="270"/>
    </row>
    <row r="31" spans="1:16">
      <c r="A31" s="274"/>
      <c r="B31" s="274"/>
      <c r="C31" s="322"/>
      <c r="D31" s="270"/>
      <c r="E31" s="279" t="s">
        <v>154</v>
      </c>
      <c r="F31" s="292" t="str">
        <f t="shared" ref="F31:I31" si="2">IFERROR(F30/F$3,"")</f>
        <v/>
      </c>
      <c r="G31" s="292">
        <f t="shared" si="2"/>
        <v>0.13549483383892524</v>
      </c>
      <c r="H31" s="292">
        <f t="shared" si="2"/>
        <v>9.6654648694144696E-2</v>
      </c>
      <c r="I31" s="292">
        <f t="shared" si="2"/>
        <v>8.9076191463147839E-2</v>
      </c>
      <c r="J31" s="270"/>
      <c r="K31" s="274" t="s">
        <v>183</v>
      </c>
      <c r="L31" s="274"/>
      <c r="M31" s="274"/>
      <c r="N31" s="277">
        <v>0</v>
      </c>
      <c r="O31" s="277">
        <v>0</v>
      </c>
      <c r="P31" s="270"/>
    </row>
    <row r="32" spans="1:16" ht="15">
      <c r="A32" s="272" t="s">
        <v>274</v>
      </c>
      <c r="B32" s="274"/>
      <c r="C32" s="321">
        <f>C24/I30</f>
        <v>22.154989658738366</v>
      </c>
      <c r="D32" s="270"/>
      <c r="E32" s="274"/>
      <c r="F32" s="277"/>
      <c r="G32" s="277"/>
      <c r="H32" s="277"/>
      <c r="I32" s="277"/>
      <c r="J32" s="270"/>
      <c r="K32" s="274" t="s">
        <v>275</v>
      </c>
      <c r="L32" s="274"/>
      <c r="M32" s="274"/>
      <c r="N32" s="277">
        <v>34942</v>
      </c>
      <c r="O32" s="277">
        <v>37055</v>
      </c>
      <c r="P32" s="270"/>
    </row>
    <row r="33" spans="1:16" ht="15">
      <c r="A33" s="274"/>
      <c r="B33" s="274"/>
      <c r="C33" s="322"/>
      <c r="D33" s="270"/>
      <c r="E33" s="274" t="s">
        <v>151</v>
      </c>
      <c r="F33" s="277"/>
      <c r="G33" s="277">
        <f>M2</f>
        <v>2630</v>
      </c>
      <c r="H33" s="277">
        <f>N2</f>
        <v>2698</v>
      </c>
      <c r="I33" s="277">
        <f>O2</f>
        <v>2929</v>
      </c>
      <c r="J33" s="270"/>
      <c r="K33" s="296" t="s">
        <v>277</v>
      </c>
      <c r="L33" s="296"/>
      <c r="M33" s="296"/>
      <c r="N33" s="297">
        <f>N28+N32+N30</f>
        <v>113132</v>
      </c>
      <c r="O33" s="297">
        <f>O28+O32+O30</f>
        <v>118065</v>
      </c>
      <c r="P33" s="270"/>
    </row>
    <row r="34" spans="1:16" ht="15">
      <c r="A34" s="272" t="s">
        <v>278</v>
      </c>
      <c r="B34" s="274"/>
      <c r="C34" s="321">
        <f>C12/I18</f>
        <v>20.618556701030929</v>
      </c>
      <c r="D34" s="270"/>
      <c r="E34" s="272" t="s">
        <v>276</v>
      </c>
      <c r="F34" s="276">
        <f>F30+F33</f>
        <v>0</v>
      </c>
      <c r="G34" s="276">
        <f>G30+G33</f>
        <v>14511</v>
      </c>
      <c r="H34" s="276">
        <f>H30+H33</f>
        <v>10392</v>
      </c>
      <c r="I34" s="276">
        <f>I30+I33</f>
        <v>10665</v>
      </c>
      <c r="J34" s="270"/>
      <c r="K34" s="279" t="s">
        <v>279</v>
      </c>
      <c r="L34" s="274"/>
      <c r="M34" s="274"/>
      <c r="N34" s="277">
        <f>N19-N33</f>
        <v>0</v>
      </c>
      <c r="O34" s="277">
        <f>O19-O33</f>
        <v>0</v>
      </c>
      <c r="P34" s="270"/>
    </row>
    <row r="35" spans="1:16" ht="15">
      <c r="A35" s="272"/>
      <c r="B35" s="274"/>
      <c r="C35" s="321"/>
      <c r="D35" s="270"/>
      <c r="E35" s="279" t="s">
        <v>154</v>
      </c>
      <c r="F35" s="292" t="str">
        <f t="shared" ref="F35:I35" si="3">IFERROR(F34/F$3,"")</f>
        <v/>
      </c>
      <c r="G35" s="292">
        <f t="shared" si="3"/>
        <v>0.16548821932805693</v>
      </c>
      <c r="H35" s="292">
        <f t="shared" si="3"/>
        <v>0.13054784367423339</v>
      </c>
      <c r="I35" s="292">
        <f t="shared" si="3"/>
        <v>0.122802169332274</v>
      </c>
      <c r="J35" s="270"/>
      <c r="K35" s="270"/>
      <c r="L35" s="270"/>
      <c r="M35" s="270"/>
      <c r="N35" s="270"/>
      <c r="O35" s="270"/>
      <c r="P35" s="270"/>
    </row>
    <row r="36" spans="1:16" ht="15">
      <c r="A36" s="272"/>
      <c r="B36" s="274"/>
      <c r="C36" s="321"/>
      <c r="D36" s="270"/>
      <c r="E36" s="274"/>
      <c r="F36" s="274"/>
      <c r="G36" s="274"/>
      <c r="H36" s="274"/>
      <c r="I36" s="274"/>
      <c r="J36" s="270"/>
      <c r="P36" s="270"/>
    </row>
    <row r="37" spans="1:16" ht="15" customHeight="1">
      <c r="A37" s="274"/>
      <c r="B37" s="274"/>
      <c r="C37" s="322"/>
      <c r="D37" s="270"/>
      <c r="E37" s="274" t="s">
        <v>280</v>
      </c>
      <c r="F37" s="277">
        <f>F14</f>
        <v>0</v>
      </c>
      <c r="G37" s="277">
        <f>G14</f>
        <v>7960</v>
      </c>
      <c r="H37" s="277">
        <f>H14</f>
        <v>5466</v>
      </c>
      <c r="I37" s="277">
        <f>I14</f>
        <v>4850</v>
      </c>
      <c r="J37" s="270"/>
      <c r="P37" s="270"/>
    </row>
    <row r="38" spans="1:16">
      <c r="A38" s="270"/>
      <c r="B38" s="270"/>
      <c r="C38" s="270"/>
      <c r="D38" s="270"/>
      <c r="E38" s="274" t="s">
        <v>262</v>
      </c>
      <c r="F38" s="277"/>
      <c r="G38" s="277"/>
      <c r="H38" s="277">
        <v>0</v>
      </c>
      <c r="I38" s="277">
        <v>0</v>
      </c>
      <c r="J38" s="270"/>
      <c r="P38" s="270"/>
    </row>
    <row r="39" spans="1:16">
      <c r="A39" s="270"/>
      <c r="B39" s="270"/>
      <c r="C39" s="270"/>
      <c r="D39" s="270"/>
      <c r="E39" s="274" t="s">
        <v>271</v>
      </c>
      <c r="F39" s="277"/>
      <c r="G39" s="277"/>
      <c r="H39" s="277"/>
      <c r="I39" s="277"/>
      <c r="J39" s="270"/>
      <c r="P39" s="270"/>
    </row>
    <row r="40" spans="1:16">
      <c r="D40" s="270"/>
      <c r="E40" s="274" t="s">
        <v>283</v>
      </c>
      <c r="F40" s="277"/>
      <c r="G40" s="277"/>
      <c r="H40" s="277">
        <v>0</v>
      </c>
      <c r="I40" s="277">
        <v>0</v>
      </c>
      <c r="J40" s="270"/>
      <c r="P40" s="270"/>
    </row>
    <row r="41" spans="1:16" ht="15">
      <c r="B41" s="323"/>
      <c r="C41" s="324"/>
      <c r="D41" s="270"/>
      <c r="E41" s="274" t="s">
        <v>285</v>
      </c>
      <c r="F41" s="277"/>
      <c r="G41" s="277"/>
      <c r="H41" s="277"/>
      <c r="I41" s="277"/>
      <c r="J41" s="270"/>
      <c r="P41" s="270"/>
    </row>
    <row r="42" spans="1:16" ht="15">
      <c r="B42" s="323"/>
      <c r="C42" s="323"/>
      <c r="D42" s="270"/>
      <c r="E42" s="272" t="s">
        <v>286</v>
      </c>
      <c r="F42" s="303">
        <f>SUM(F37:F41)</f>
        <v>0</v>
      </c>
      <c r="G42" s="303">
        <f>SUM(G37:G41)</f>
        <v>7960</v>
      </c>
      <c r="H42" s="303">
        <f>SUM(H37:H41)</f>
        <v>5466</v>
      </c>
      <c r="I42" s="303">
        <f>SUM(I37:I41)</f>
        <v>4850</v>
      </c>
      <c r="J42" s="270"/>
      <c r="P42" s="270"/>
    </row>
    <row r="43" spans="1:16" ht="15" customHeight="1">
      <c r="B43" s="323"/>
      <c r="C43" s="325"/>
      <c r="D43" s="270"/>
      <c r="E43" s="279" t="s">
        <v>154</v>
      </c>
      <c r="F43" s="292" t="str">
        <f t="shared" ref="F43:I43" si="4">IFERROR(F42/F$3,"")</f>
        <v/>
      </c>
      <c r="G43" s="292">
        <f t="shared" si="4"/>
        <v>9.0778459503227424E-2</v>
      </c>
      <c r="H43" s="292">
        <f t="shared" si="4"/>
        <v>6.8665753803248616E-2</v>
      </c>
      <c r="I43" s="292">
        <f t="shared" si="4"/>
        <v>5.5845337202206177E-2</v>
      </c>
      <c r="J43" s="270"/>
      <c r="P43" s="270"/>
    </row>
    <row r="44" spans="1:16">
      <c r="B44" s="323"/>
      <c r="C44" s="325"/>
      <c r="D44" s="270"/>
      <c r="E44" s="274"/>
      <c r="F44" s="274"/>
      <c r="G44" s="274"/>
      <c r="H44" s="274"/>
      <c r="I44" s="274"/>
      <c r="J44" s="270"/>
      <c r="P44" s="270"/>
    </row>
    <row r="45" spans="1:16" ht="15">
      <c r="B45" s="323"/>
      <c r="C45" s="324"/>
      <c r="D45" s="270"/>
      <c r="E45" s="274" t="s">
        <v>287</v>
      </c>
      <c r="F45" s="291">
        <v>0</v>
      </c>
      <c r="G45" s="291">
        <v>0</v>
      </c>
      <c r="H45" s="291">
        <v>0</v>
      </c>
      <c r="I45" s="291">
        <v>0</v>
      </c>
      <c r="J45" s="270"/>
      <c r="P45" s="270"/>
    </row>
    <row r="46" spans="1:16" ht="15" customHeight="1">
      <c r="B46" s="323"/>
      <c r="C46" s="325"/>
      <c r="D46" s="270"/>
      <c r="E46" s="274"/>
      <c r="F46" s="274"/>
      <c r="G46" s="274"/>
      <c r="H46" s="274"/>
      <c r="I46" s="274"/>
      <c r="J46" s="270"/>
      <c r="P46" s="270"/>
    </row>
    <row r="47" spans="1:16" ht="15" customHeight="1">
      <c r="B47" s="324"/>
      <c r="C47" s="326"/>
      <c r="D47" s="270"/>
      <c r="E47" s="270"/>
      <c r="F47" s="270"/>
      <c r="G47" s="270"/>
      <c r="H47" s="270"/>
      <c r="I47" s="270"/>
      <c r="J47" s="270"/>
      <c r="P47" s="270"/>
    </row>
    <row r="48" spans="1:16">
      <c r="J48" s="271"/>
      <c r="P48" s="270"/>
    </row>
    <row r="49" spans="4:16">
      <c r="J49" s="271"/>
      <c r="P49" s="270"/>
    </row>
    <row r="50" spans="4:16">
      <c r="J50" s="271"/>
      <c r="P50" s="270"/>
    </row>
    <row r="51" spans="4:16">
      <c r="J51" s="271"/>
      <c r="P51" s="270"/>
    </row>
    <row r="52" spans="4:16" ht="15" customHeight="1">
      <c r="D52" s="271"/>
      <c r="J52" s="271"/>
      <c r="P52" s="270"/>
    </row>
    <row r="53" spans="4:16">
      <c r="D53" s="271"/>
      <c r="J53" s="271"/>
      <c r="P53" s="270"/>
    </row>
    <row r="54" spans="4:16">
      <c r="D54" s="271"/>
      <c r="P54" s="270"/>
    </row>
    <row r="55" spans="4:16">
      <c r="D55" s="271"/>
      <c r="P55" s="270"/>
    </row>
    <row r="56" spans="4:16">
      <c r="D56" s="271"/>
      <c r="P56" s="270"/>
    </row>
    <row r="57" spans="4:16">
      <c r="D57" s="271"/>
      <c r="P57" s="270"/>
    </row>
    <row r="58" spans="4:16">
      <c r="D58" s="271"/>
      <c r="P58" s="270"/>
    </row>
    <row r="59" spans="4:16">
      <c r="D59" s="271"/>
      <c r="P59" s="270"/>
    </row>
    <row r="60" spans="4:16">
      <c r="D60" s="271"/>
      <c r="P60" s="270"/>
    </row>
    <row r="62" spans="4:16" hidden="1" outlineLevel="1"/>
    <row r="63" spans="4:16" hidden="1" outlineLevel="1"/>
    <row r="64" spans="4:16" hidden="1" outlineLevel="1"/>
    <row r="65" collapsed="1"/>
  </sheetData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M69"/>
  <sheetViews>
    <sheetView workbookViewId="0">
      <selection activeCell="E2" sqref="E2:M19"/>
    </sheetView>
  </sheetViews>
  <sheetFormatPr defaultColWidth="8.85546875" defaultRowHeight="15"/>
  <cols>
    <col min="1" max="1" width="10.140625" bestFit="1" customWidth="1"/>
  </cols>
  <sheetData>
    <row r="1" spans="1:13">
      <c r="A1" t="s">
        <v>123</v>
      </c>
      <c r="B1" t="s">
        <v>343</v>
      </c>
      <c r="C1" t="s">
        <v>403</v>
      </c>
    </row>
    <row r="2" spans="1:13">
      <c r="A2" s="474">
        <f>'Cost of Equity'!A40</f>
        <v>39871</v>
      </c>
      <c r="B2">
        <f>'Cost of Equity'!AV40</f>
        <v>1.9461017382934789E-2</v>
      </c>
      <c r="C2">
        <f>'Cost of Equity'!AA40</f>
        <v>-5.3399204848175119E-2</v>
      </c>
      <c r="E2" s="473" t="s">
        <v>346</v>
      </c>
      <c r="F2" s="473"/>
      <c r="G2" s="473"/>
      <c r="H2" s="473"/>
      <c r="I2" s="473"/>
      <c r="J2" s="473"/>
      <c r="K2" s="473"/>
      <c r="L2" s="473"/>
      <c r="M2" s="473"/>
    </row>
    <row r="3" spans="1:13" ht="15.75" thickBot="1">
      <c r="A3" s="474">
        <f>'Cost of Equity'!A41</f>
        <v>39903</v>
      </c>
      <c r="B3" s="473">
        <f>'Cost of Equity'!AV41</f>
        <v>0.15668541659984878</v>
      </c>
      <c r="C3" s="473">
        <f>'Cost of Equity'!AA41</f>
        <v>4.5658466459743426E-2</v>
      </c>
      <c r="E3" s="473"/>
      <c r="F3" s="473"/>
      <c r="G3" s="473"/>
      <c r="H3" s="473"/>
      <c r="I3" s="473"/>
      <c r="J3" s="473"/>
      <c r="K3" s="473"/>
      <c r="L3" s="473"/>
      <c r="M3" s="473"/>
    </row>
    <row r="4" spans="1:13">
      <c r="A4" s="474">
        <f>'Cost of Equity'!A42</f>
        <v>39933</v>
      </c>
      <c r="B4" s="473">
        <f>'Cost of Equity'!AV42</f>
        <v>1.6272842845792373E-2</v>
      </c>
      <c r="C4" s="473">
        <f>'Cost of Equity'!AA42</f>
        <v>0.25257061969262962</v>
      </c>
      <c r="E4" s="445" t="s">
        <v>347</v>
      </c>
      <c r="F4" s="445"/>
      <c r="G4" s="473"/>
      <c r="H4" s="473"/>
      <c r="I4" s="473"/>
      <c r="J4" s="473"/>
      <c r="K4" s="473"/>
      <c r="L4" s="473"/>
      <c r="M4" s="473"/>
    </row>
    <row r="5" spans="1:13">
      <c r="A5" s="474">
        <f>'Cost of Equity'!A43</f>
        <v>39962</v>
      </c>
      <c r="B5" s="473">
        <f>'Cost of Equity'!AV43</f>
        <v>2.4451255404086533E-2</v>
      </c>
      <c r="C5" s="473">
        <f>'Cost of Equity'!AA43</f>
        <v>-9.5503717048919495E-2</v>
      </c>
      <c r="E5" s="442" t="s">
        <v>348</v>
      </c>
      <c r="F5" s="442">
        <v>4.2595014809671462E-2</v>
      </c>
      <c r="G5" s="473"/>
      <c r="H5" s="473"/>
      <c r="I5" s="473"/>
      <c r="J5" s="473"/>
      <c r="K5" s="473"/>
      <c r="L5" s="473"/>
      <c r="M5" s="473"/>
    </row>
    <row r="6" spans="1:13">
      <c r="A6" s="474">
        <f>'Cost of Equity'!A44</f>
        <v>39993</v>
      </c>
      <c r="B6" s="473">
        <f>'Cost of Equity'!AV44</f>
        <v>0.10280084574958656</v>
      </c>
      <c r="C6" s="473">
        <f>'Cost of Equity'!AA44</f>
        <v>3.1286497080996287E-3</v>
      </c>
      <c r="E6" s="442" t="s">
        <v>349</v>
      </c>
      <c r="F6" s="442">
        <v>1.8143352866361311E-3</v>
      </c>
      <c r="G6" s="473"/>
      <c r="H6" s="473"/>
      <c r="I6" s="473"/>
      <c r="J6" s="473"/>
      <c r="K6" s="473"/>
      <c r="L6" s="473"/>
      <c r="M6" s="473"/>
    </row>
    <row r="7" spans="1:13">
      <c r="A7" s="474">
        <f>'Cost of Equity'!A45</f>
        <v>40025</v>
      </c>
      <c r="B7" s="473">
        <f>'Cost of Equity'!AV45</f>
        <v>2.5409388747220037E-2</v>
      </c>
      <c r="C7" s="473">
        <f>'Cost of Equity'!AA45</f>
        <v>9.9397206158541335E-2</v>
      </c>
      <c r="E7" s="442" t="s">
        <v>350</v>
      </c>
      <c r="F7" s="442">
        <v>-1.3309689936293626E-2</v>
      </c>
      <c r="G7" s="473"/>
      <c r="H7" s="473"/>
      <c r="I7" s="473"/>
      <c r="J7" s="473"/>
      <c r="K7" s="473"/>
      <c r="L7" s="473"/>
      <c r="M7" s="473"/>
    </row>
    <row r="8" spans="1:13">
      <c r="A8" s="474">
        <f>'Cost of Equity'!A46</f>
        <v>40056</v>
      </c>
      <c r="B8" s="473">
        <f>'Cost of Equity'!AV46</f>
        <v>-9.0698647594358098E-3</v>
      </c>
      <c r="C8" s="473">
        <f>'Cost of Equity'!AA46</f>
        <v>3.7645240696212411E-2</v>
      </c>
      <c r="E8" s="442" t="s">
        <v>351</v>
      </c>
      <c r="F8" s="442">
        <v>0.13475053978174409</v>
      </c>
      <c r="G8" s="473"/>
      <c r="H8" s="473"/>
      <c r="I8" s="473"/>
      <c r="J8" s="473"/>
      <c r="K8" s="473"/>
      <c r="L8" s="473"/>
      <c r="M8" s="473"/>
    </row>
    <row r="9" spans="1:13" ht="15.75" thickBot="1">
      <c r="A9" s="474">
        <f>'Cost of Equity'!A47</f>
        <v>40086</v>
      </c>
      <c r="B9" s="473">
        <f>'Cost of Equity'!AV47</f>
        <v>5.1947392427601817E-2</v>
      </c>
      <c r="C9" s="473">
        <f>'Cost of Equity'!AA47</f>
        <v>-1.4509100450311211E-2</v>
      </c>
      <c r="E9" s="443" t="s">
        <v>352</v>
      </c>
      <c r="F9" s="443">
        <v>68</v>
      </c>
      <c r="G9" s="473"/>
      <c r="H9" s="473"/>
      <c r="I9" s="473"/>
      <c r="J9" s="473"/>
      <c r="K9" s="473"/>
      <c r="L9" s="473"/>
      <c r="M9" s="473"/>
    </row>
    <row r="10" spans="1:13">
      <c r="A10" s="474">
        <f>'Cost of Equity'!A48</f>
        <v>40116</v>
      </c>
      <c r="B10" s="473">
        <f>'Cost of Equity'!AV48</f>
        <v>-9.1172128271945312E-3</v>
      </c>
      <c r="C10" s="473">
        <f>'Cost of Equity'!AA48</f>
        <v>6.8141001499106874E-2</v>
      </c>
      <c r="E10" s="473"/>
      <c r="F10" s="473"/>
      <c r="G10" s="473"/>
      <c r="H10" s="473"/>
      <c r="I10" s="473"/>
      <c r="J10" s="473"/>
      <c r="K10" s="473"/>
      <c r="L10" s="473"/>
      <c r="M10" s="473"/>
    </row>
    <row r="11" spans="1:13" ht="15.75" thickBot="1">
      <c r="A11" s="474">
        <f>'Cost of Equity'!A49</f>
        <v>40147</v>
      </c>
      <c r="B11" s="473">
        <f>'Cost of Equity'!AV49</f>
        <v>1.6352426552622337E-2</v>
      </c>
      <c r="C11" s="473">
        <f>'Cost of Equity'!AA49</f>
        <v>3.5917442801510428E-2</v>
      </c>
      <c r="E11" s="473" t="s">
        <v>353</v>
      </c>
      <c r="F11" s="473"/>
      <c r="G11" s="473"/>
      <c r="H11" s="473"/>
      <c r="I11" s="473"/>
      <c r="J11" s="473"/>
      <c r="K11" s="473"/>
      <c r="L11" s="473"/>
      <c r="M11" s="473"/>
    </row>
    <row r="12" spans="1:13">
      <c r="A12" s="474">
        <f>'Cost of Equity'!A50</f>
        <v>40178</v>
      </c>
      <c r="B12" s="473">
        <f>'Cost of Equity'!AV50</f>
        <v>1.9887681242793747E-3</v>
      </c>
      <c r="C12" s="473">
        <f>'Cost of Equity'!AA50</f>
        <v>-3.9390768146479689E-2</v>
      </c>
      <c r="E12" s="444"/>
      <c r="F12" s="444" t="s">
        <v>354</v>
      </c>
      <c r="G12" s="444" t="s">
        <v>355</v>
      </c>
      <c r="H12" s="444" t="s">
        <v>356</v>
      </c>
      <c r="I12" s="444" t="s">
        <v>357</v>
      </c>
      <c r="J12" s="444" t="s">
        <v>358</v>
      </c>
      <c r="K12" s="473"/>
      <c r="L12" s="473"/>
      <c r="M12" s="473"/>
    </row>
    <row r="13" spans="1:13">
      <c r="A13" s="474">
        <f>'Cost of Equity'!A51</f>
        <v>40207</v>
      </c>
      <c r="B13" s="473">
        <f>'Cost of Equity'!AV51</f>
        <v>-6.7488067772785848E-3</v>
      </c>
      <c r="C13" s="473">
        <f>'Cost of Equity'!AA51</f>
        <v>-8.2692827672390164E-3</v>
      </c>
      <c r="E13" s="442" t="s">
        <v>359</v>
      </c>
      <c r="F13" s="442">
        <v>1</v>
      </c>
      <c r="G13" s="442">
        <v>2.1782673469181724E-3</v>
      </c>
      <c r="H13" s="442">
        <v>2.1782673469181724E-3</v>
      </c>
      <c r="I13" s="442">
        <v>0.1199637834434044</v>
      </c>
      <c r="J13" s="442">
        <v>0.73017555464167161</v>
      </c>
      <c r="K13" s="473"/>
      <c r="L13" s="473"/>
      <c r="M13" s="473"/>
    </row>
    <row r="14" spans="1:13">
      <c r="A14" s="474">
        <f>'Cost of Equity'!A52</f>
        <v>40235</v>
      </c>
      <c r="B14" s="473">
        <f>'Cost of Equity'!AV52</f>
        <v>7.3433296335754503E-2</v>
      </c>
      <c r="C14" s="473">
        <f>'Cost of Equity'!AA52</f>
        <v>9.5121136573777604E-2</v>
      </c>
      <c r="E14" s="442" t="s">
        <v>360</v>
      </c>
      <c r="F14" s="442">
        <v>66</v>
      </c>
      <c r="G14" s="442">
        <v>1.1984087261171121</v>
      </c>
      <c r="H14" s="442">
        <v>1.8157707971471395E-2</v>
      </c>
      <c r="I14" s="442"/>
      <c r="J14" s="442"/>
      <c r="K14" s="473"/>
      <c r="L14" s="473"/>
      <c r="M14" s="473"/>
    </row>
    <row r="15" spans="1:13" ht="15.75" thickBot="1">
      <c r="A15" s="474">
        <f>'Cost of Equity'!A53</f>
        <v>40268</v>
      </c>
      <c r="B15" s="473">
        <f>'Cost of Equity'!AV53</f>
        <v>3.2889739061283868E-2</v>
      </c>
      <c r="C15" s="473">
        <f>'Cost of Equity'!AA53</f>
        <v>0.12576348955600611</v>
      </c>
      <c r="E15" s="443" t="s">
        <v>81</v>
      </c>
      <c r="F15" s="443">
        <v>67</v>
      </c>
      <c r="G15" s="443">
        <v>1.2005869934640303</v>
      </c>
      <c r="H15" s="443"/>
      <c r="I15" s="443"/>
      <c r="J15" s="443"/>
      <c r="K15" s="473"/>
      <c r="L15" s="473"/>
      <c r="M15" s="473"/>
    </row>
    <row r="16" spans="1:13" ht="15.75" thickBot="1">
      <c r="A16" s="474">
        <f>'Cost of Equity'!A54</f>
        <v>40298</v>
      </c>
      <c r="B16" s="473">
        <f>'Cost of Equity'!AV54</f>
        <v>-7.2148845942007253E-2</v>
      </c>
      <c r="C16" s="473">
        <f>'Cost of Equity'!AA54</f>
        <v>0.11159042472383045</v>
      </c>
      <c r="E16" s="473"/>
      <c r="F16" s="473"/>
      <c r="G16" s="473"/>
      <c r="H16" s="473"/>
      <c r="I16" s="473"/>
      <c r="J16" s="473"/>
      <c r="K16" s="473"/>
      <c r="L16" s="473"/>
      <c r="M16" s="473"/>
    </row>
    <row r="17" spans="1:13">
      <c r="A17" s="474">
        <f>'Cost of Equity'!A55</f>
        <v>40329</v>
      </c>
      <c r="B17" s="473">
        <f>'Cost of Equity'!AV55</f>
        <v>2.5382741048479013E-2</v>
      </c>
      <c r="C17" s="473">
        <f>'Cost of Equity'!AA55</f>
        <v>-9.4471447375003653E-2</v>
      </c>
      <c r="E17" s="444"/>
      <c r="F17" s="444" t="s">
        <v>361</v>
      </c>
      <c r="G17" s="444" t="s">
        <v>351</v>
      </c>
      <c r="H17" s="444" t="s">
        <v>362</v>
      </c>
      <c r="I17" s="444" t="s">
        <v>363</v>
      </c>
      <c r="J17" s="444" t="s">
        <v>364</v>
      </c>
      <c r="K17" s="444" t="s">
        <v>365</v>
      </c>
      <c r="L17" s="444" t="s">
        <v>366</v>
      </c>
      <c r="M17" s="444" t="s">
        <v>367</v>
      </c>
    </row>
    <row r="18" spans="1:13">
      <c r="A18" s="474">
        <f>'Cost of Equity'!A56</f>
        <v>40359</v>
      </c>
      <c r="B18" s="473">
        <f>'Cost of Equity'!AV56</f>
        <v>4.0164742866148732E-2</v>
      </c>
      <c r="C18" s="473">
        <f>'Cost of Equity'!AA56</f>
        <v>3.812965302765807E-2</v>
      </c>
      <c r="E18" s="442" t="s">
        <v>368</v>
      </c>
      <c r="F18" s="442">
        <v>2.4281163068211441E-3</v>
      </c>
      <c r="G18" s="442">
        <v>1.6915635838009962E-2</v>
      </c>
      <c r="H18" s="442">
        <v>0.14354271574971431</v>
      </c>
      <c r="I18" s="442">
        <v>0.88629894933236597</v>
      </c>
      <c r="J18" s="442">
        <v>-3.1345040331304121E-2</v>
      </c>
      <c r="K18" s="442">
        <v>3.6201272944946412E-2</v>
      </c>
      <c r="L18" s="442">
        <v>-3.1345040331304121E-2</v>
      </c>
      <c r="M18" s="442">
        <v>3.6201272944946412E-2</v>
      </c>
    </row>
    <row r="19" spans="1:13" ht="15.75" thickBot="1">
      <c r="A19" s="474">
        <f>'Cost of Equity'!A57</f>
        <v>40389</v>
      </c>
      <c r="B19" s="473">
        <f>'Cost of Equity'!AV57</f>
        <v>-3.4645145388043544E-2</v>
      </c>
      <c r="C19" s="473">
        <f>'Cost of Equity'!AA57</f>
        <v>0.10352286346645365</v>
      </c>
      <c r="E19" s="443" t="s">
        <v>369</v>
      </c>
      <c r="F19" s="443">
        <v>0.13510957298842591</v>
      </c>
      <c r="G19" s="443">
        <v>0.39008661109123516</v>
      </c>
      <c r="H19" s="443">
        <v>0.34635788347225765</v>
      </c>
      <c r="I19" s="443">
        <v>0.7301755546416957</v>
      </c>
      <c r="J19" s="443">
        <v>-0.64372347502602256</v>
      </c>
      <c r="K19" s="443">
        <v>0.91394262100287427</v>
      </c>
      <c r="L19" s="443">
        <v>-0.64372347502602256</v>
      </c>
      <c r="M19" s="443">
        <v>0.91394262100287427</v>
      </c>
    </row>
    <row r="20" spans="1:13">
      <c r="A20" s="474">
        <f>'Cost of Equity'!A58</f>
        <v>40421</v>
      </c>
      <c r="B20" s="473">
        <f>'Cost of Equity'!AV58</f>
        <v>7.2342484557199355E-2</v>
      </c>
      <c r="C20" s="473">
        <f>'Cost of Equity'!AA58</f>
        <v>2.43741442566917E-2</v>
      </c>
    </row>
    <row r="21" spans="1:13">
      <c r="A21" s="474">
        <f>'Cost of Equity'!A59</f>
        <v>40451</v>
      </c>
      <c r="B21" s="473">
        <f>'Cost of Equity'!AV59</f>
        <v>1.3790795657506411E-3</v>
      </c>
      <c r="C21" s="473">
        <f>'Cost of Equity'!AA59</f>
        <v>8.6911376989629696E-2</v>
      </c>
    </row>
    <row r="22" spans="1:13">
      <c r="A22" s="474">
        <f>'Cost of Equity'!A60</f>
        <v>40480</v>
      </c>
      <c r="B22" s="473">
        <f>'Cost of Equity'!AV60</f>
        <v>1.6045171472176274E-2</v>
      </c>
      <c r="C22" s="473">
        <f>'Cost of Equity'!AA60</f>
        <v>-4.6848225189305787E-2</v>
      </c>
    </row>
    <row r="23" spans="1:13">
      <c r="A23" s="474">
        <f>'Cost of Equity'!A61</f>
        <v>40512</v>
      </c>
      <c r="B23" s="473">
        <f>'Cost of Equity'!AV61</f>
        <v>4.2794908908149187E-2</v>
      </c>
      <c r="C23" s="473">
        <f>'Cost of Equity'!AA61</f>
        <v>1.1754763696083177E-2</v>
      </c>
    </row>
    <row r="24" spans="1:13">
      <c r="A24" s="474">
        <f>'Cost of Equity'!A62</f>
        <v>40542</v>
      </c>
      <c r="B24" s="473">
        <f>'Cost of Equity'!AV62</f>
        <v>-7.3521042699869798E-3</v>
      </c>
      <c r="C24" s="473">
        <f>'Cost of Equity'!AA62</f>
        <v>7.3708877742896264E-2</v>
      </c>
    </row>
    <row r="25" spans="1:13">
      <c r="A25" s="474">
        <f>'Cost of Equity'!A63</f>
        <v>40574</v>
      </c>
      <c r="B25" s="473">
        <f>'Cost of Equity'!AV63</f>
        <v>-1.6410536112148971E-2</v>
      </c>
      <c r="C25" s="473">
        <f>'Cost of Equity'!AA63</f>
        <v>-6.6262576731630413E-2</v>
      </c>
    </row>
    <row r="26" spans="1:13">
      <c r="A26" s="474">
        <f>'Cost of Equity'!A64</f>
        <v>40602</v>
      </c>
      <c r="B26" s="473">
        <f>'Cost of Equity'!AV64</f>
        <v>5.387018577670705E-3</v>
      </c>
      <c r="C26" s="473">
        <f>'Cost of Equity'!AA64</f>
        <v>-2.5265910698126216E-2</v>
      </c>
    </row>
    <row r="27" spans="1:13">
      <c r="A27" s="474">
        <f>'Cost of Equity'!A65</f>
        <v>40633</v>
      </c>
      <c r="B27" s="473">
        <f>'Cost of Equity'!AV65</f>
        <v>2.4247181907210962E-2</v>
      </c>
      <c r="C27" s="473">
        <f>'Cost of Equity'!AA65</f>
        <v>3.5399348738021058E-2</v>
      </c>
    </row>
    <row r="28" spans="1:13">
      <c r="A28" s="474">
        <f>'Cost of Equity'!A66</f>
        <v>40662</v>
      </c>
      <c r="B28" s="473">
        <f>'Cost of Equity'!AV66</f>
        <v>-1.0021436495752527E-2</v>
      </c>
      <c r="C28" s="473">
        <f>'Cost of Equity'!AA66</f>
        <v>7.0455260839644845E-2</v>
      </c>
    </row>
    <row r="29" spans="1:13">
      <c r="A29" s="474">
        <f>'Cost of Equity'!A67</f>
        <v>40694</v>
      </c>
      <c r="B29" s="473">
        <f>'Cost of Equity'!AV67</f>
        <v>-3.1983190673375468E-2</v>
      </c>
      <c r="C29" s="473">
        <f>'Cost of Equity'!AA67</f>
        <v>-8.72350781064124E-3</v>
      </c>
    </row>
    <row r="30" spans="1:13">
      <c r="A30" s="474">
        <f>'Cost of Equity'!A68</f>
        <v>40724</v>
      </c>
      <c r="B30" s="473">
        <f>'Cost of Equity'!AV68</f>
        <v>-4.5275478908076469E-2</v>
      </c>
      <c r="C30" s="473">
        <f>'Cost of Equity'!AA68</f>
        <v>-3.6247635873289039E-2</v>
      </c>
    </row>
    <row r="31" spans="1:13">
      <c r="A31" s="474">
        <f>'Cost of Equity'!A69</f>
        <v>40753</v>
      </c>
      <c r="B31" s="473">
        <f>'Cost of Equity'!AV69</f>
        <v>-0.11041663088706334</v>
      </c>
      <c r="C31" s="473">
        <f>'Cost of Equity'!AA69</f>
        <v>-0.17790487072514796</v>
      </c>
    </row>
    <row r="32" spans="1:13">
      <c r="A32" s="474">
        <f>'Cost of Equity'!A70</f>
        <v>40786</v>
      </c>
      <c r="B32" s="473">
        <f>'Cost of Equity'!AV70</f>
        <v>-4.7792435603299842E-2</v>
      </c>
      <c r="C32" s="473">
        <f>'Cost of Equity'!AA70</f>
        <v>-6.5679251635027067E-2</v>
      </c>
    </row>
    <row r="33" spans="1:3">
      <c r="A33" s="474">
        <f>'Cost of Equity'!A71</f>
        <v>40816</v>
      </c>
      <c r="B33" s="473">
        <f>'Cost of Equity'!AV71</f>
        <v>8.441789358660369E-2</v>
      </c>
      <c r="C33" s="473">
        <f>'Cost of Equity'!AA71</f>
        <v>-0.14741119183212012</v>
      </c>
    </row>
    <row r="34" spans="1:3">
      <c r="A34" s="474">
        <f>'Cost of Equity'!A72</f>
        <v>40847</v>
      </c>
      <c r="B34" s="473">
        <f>'Cost of Equity'!AV72</f>
        <v>-1.1349991734142355E-2</v>
      </c>
      <c r="C34" s="473">
        <f>'Cost of Equity'!AA72</f>
        <v>0.10269058244542432</v>
      </c>
    </row>
    <row r="35" spans="1:3">
      <c r="A35" s="474">
        <f>'Cost of Equity'!A73</f>
        <v>40877</v>
      </c>
      <c r="B35" s="473">
        <f>'Cost of Equity'!AV73</f>
        <v>8.5315672566544411E-3</v>
      </c>
      <c r="C35" s="473">
        <f>'Cost of Equity'!AA73</f>
        <v>0.21939478070778662</v>
      </c>
    </row>
    <row r="36" spans="1:3">
      <c r="A36" s="474">
        <f>'Cost of Equity'!A74</f>
        <v>40907</v>
      </c>
      <c r="B36" s="473">
        <f>'Cost of Equity'!AV74</f>
        <v>4.7819689947174338E-2</v>
      </c>
      <c r="C36" s="473">
        <f>'Cost of Equity'!AA74</f>
        <v>-1E-4</v>
      </c>
    </row>
    <row r="37" spans="1:3">
      <c r="A37" s="474">
        <f>'Cost of Equity'!A75</f>
        <v>40939</v>
      </c>
      <c r="B37" s="473">
        <f>'Cost of Equity'!AV75</f>
        <v>6.1113625843570475E-2</v>
      </c>
      <c r="C37" s="473">
        <f>'Cost of Equity'!AA75</f>
        <v>-1E-4</v>
      </c>
    </row>
    <row r="38" spans="1:3">
      <c r="A38" s="474">
        <f>'Cost of Equity'!A76</f>
        <v>40968</v>
      </c>
      <c r="B38" s="473">
        <f>'Cost of Equity'!AV76</f>
        <v>-2.5172077549339172E-2</v>
      </c>
      <c r="C38" s="473">
        <f>'Cost of Equity'!AA76</f>
        <v>-1E-4</v>
      </c>
    </row>
    <row r="39" spans="1:3">
      <c r="A39" s="474">
        <f>'Cost of Equity'!A77</f>
        <v>40998</v>
      </c>
      <c r="B39" s="473">
        <f>'Cost of Equity'!AV77</f>
        <v>-1.4026470333849085E-2</v>
      </c>
      <c r="C39" s="473">
        <f>'Cost of Equity'!AA77</f>
        <v>-1E-4</v>
      </c>
    </row>
    <row r="40" spans="1:3">
      <c r="A40" s="474">
        <f>'Cost of Equity'!A78</f>
        <v>41029</v>
      </c>
      <c r="B40" s="473">
        <f>'Cost of Equity'!AV78</f>
        <v>-8.23235378671167E-2</v>
      </c>
      <c r="C40" s="473">
        <f>'Cost of Equity'!AA78</f>
        <v>-1E-4</v>
      </c>
    </row>
    <row r="41" spans="1:3">
      <c r="A41" s="474">
        <f>'Cost of Equity'!A79</f>
        <v>41060</v>
      </c>
      <c r="B41" s="473">
        <f>'Cost of Equity'!AV79</f>
        <v>4.3093818345571099E-2</v>
      </c>
      <c r="C41" s="473">
        <f>'Cost of Equity'!AA79</f>
        <v>2.578582844829836E-2</v>
      </c>
    </row>
    <row r="42" spans="1:3">
      <c r="A42" s="474">
        <f>'Cost of Equity'!A80</f>
        <v>41089</v>
      </c>
      <c r="B42" s="473">
        <f>'Cost of Equity'!AV80</f>
        <v>4.6956908287990526E-2</v>
      </c>
      <c r="C42" s="473">
        <f>'Cost of Equity'!AA80</f>
        <v>-1E-4</v>
      </c>
    </row>
    <row r="43" spans="1:3">
      <c r="A43" s="474">
        <f>'Cost of Equity'!A81</f>
        <v>41121</v>
      </c>
      <c r="B43" s="473">
        <f>'Cost of Equity'!AV81</f>
        <v>-2.304510464719951E-2</v>
      </c>
      <c r="C43" s="473">
        <f>'Cost of Equity'!AA81</f>
        <v>-1E-4</v>
      </c>
    </row>
    <row r="44" spans="1:3">
      <c r="A44" s="474">
        <f>'Cost of Equity'!A82</f>
        <v>41152</v>
      </c>
      <c r="B44" s="473">
        <f>'Cost of Equity'!AV82</f>
        <v>2.6853313282587835E-2</v>
      </c>
      <c r="C44" s="473">
        <f>'Cost of Equity'!AA82</f>
        <v>-1E-4</v>
      </c>
    </row>
    <row r="45" spans="1:3">
      <c r="A45" s="474">
        <f>'Cost of Equity'!A83</f>
        <v>41180</v>
      </c>
      <c r="B45" s="473">
        <f>'Cost of Equity'!AV83</f>
        <v>-1.9248079099808187E-2</v>
      </c>
      <c r="C45" s="473">
        <f>'Cost of Equity'!AA83</f>
        <v>-1E-4</v>
      </c>
    </row>
    <row r="46" spans="1:3">
      <c r="A46" s="474">
        <f>'Cost of Equity'!A84</f>
        <v>41213</v>
      </c>
      <c r="B46" s="473">
        <f>'Cost of Equity'!AV84</f>
        <v>3.1465418838264314E-2</v>
      </c>
      <c r="C46" s="473">
        <f>'Cost of Equity'!AA84</f>
        <v>-1E-4</v>
      </c>
    </row>
    <row r="47" spans="1:3">
      <c r="A47" s="474">
        <f>'Cost of Equity'!A85</f>
        <v>41243</v>
      </c>
      <c r="B47" s="473">
        <f>'Cost of Equity'!AV85</f>
        <v>1.7137870796358173E-2</v>
      </c>
      <c r="C47" s="473">
        <f>'Cost of Equity'!AA85</f>
        <v>-1E-4</v>
      </c>
    </row>
    <row r="48" spans="1:3">
      <c r="A48" s="474">
        <f>'Cost of Equity'!A86</f>
        <v>41271</v>
      </c>
      <c r="B48" s="473">
        <f>'Cost of Equity'!AV86</f>
        <v>5.6593134134323715E-2</v>
      </c>
      <c r="C48" s="473">
        <f>'Cost of Equity'!AA86</f>
        <v>-1E-4</v>
      </c>
    </row>
    <row r="49" spans="1:3">
      <c r="A49" s="474">
        <f>'Cost of Equity'!A87</f>
        <v>41305</v>
      </c>
      <c r="B49" s="473">
        <f>'Cost of Equity'!AV87</f>
        <v>2.5427336396467524E-2</v>
      </c>
      <c r="C49" s="473">
        <f>'Cost of Equity'!AA87</f>
        <v>-1E-4</v>
      </c>
    </row>
    <row r="50" spans="1:3">
      <c r="A50" s="474">
        <f>'Cost of Equity'!A88</f>
        <v>41333</v>
      </c>
      <c r="B50" s="473">
        <f>'Cost of Equity'!AV88</f>
        <v>1.3913003317876189E-3</v>
      </c>
      <c r="C50" s="473">
        <f>'Cost of Equity'!AA88</f>
        <v>-1E-4</v>
      </c>
    </row>
    <row r="51" spans="1:3">
      <c r="A51" s="474">
        <f>'Cost of Equity'!A89</f>
        <v>41361</v>
      </c>
      <c r="B51" s="473">
        <f>'Cost of Equity'!AV89</f>
        <v>-1.9331963570329621E-3</v>
      </c>
      <c r="C51" s="473">
        <f>'Cost of Equity'!AA89</f>
        <v>-1E-4</v>
      </c>
    </row>
    <row r="52" spans="1:3">
      <c r="A52" s="474">
        <f>'Cost of Equity'!A90</f>
        <v>41394</v>
      </c>
      <c r="B52" s="473">
        <f>'Cost of Equity'!AV90</f>
        <v>1.2975222734377585E-2</v>
      </c>
      <c r="C52" s="473">
        <f>'Cost of Equity'!AA90</f>
        <v>-1E-4</v>
      </c>
    </row>
    <row r="53" spans="1:3">
      <c r="A53" s="474">
        <f>'Cost of Equity'!A91</f>
        <v>41425</v>
      </c>
      <c r="B53" s="473">
        <f>'Cost of Equity'!AV91</f>
        <v>-5.4023628721659188E-2</v>
      </c>
      <c r="C53" s="473">
        <f>'Cost of Equity'!AA91</f>
        <v>2.4528395855090646E-2</v>
      </c>
    </row>
    <row r="54" spans="1:3">
      <c r="A54" s="474">
        <f>'Cost of Equity'!A92</f>
        <v>41453</v>
      </c>
      <c r="B54" s="473">
        <f>'Cost of Equity'!AV92</f>
        <v>6.9586520228589591E-2</v>
      </c>
      <c r="C54" s="473">
        <f>'Cost of Equity'!AA92</f>
        <v>-1E-4</v>
      </c>
    </row>
    <row r="55" spans="1:3">
      <c r="A55" s="474">
        <f>'Cost of Equity'!A93</f>
        <v>41486</v>
      </c>
      <c r="B55" s="473">
        <f>'Cost of Equity'!AV93</f>
        <v>-1.620869575224192E-2</v>
      </c>
      <c r="C55" s="473">
        <f>'Cost of Equity'!AA93</f>
        <v>-8.9026065434229164E-3</v>
      </c>
    </row>
    <row r="56" spans="1:3">
      <c r="A56" s="474">
        <f>'Cost of Equity'!A94</f>
        <v>41516</v>
      </c>
      <c r="B56" s="473">
        <f>'Cost of Equity'!AV94</f>
        <v>3.6485256028639119E-2</v>
      </c>
      <c r="C56" s="473">
        <f>'Cost of Equity'!AA94</f>
        <v>-2.4714490641970357E-2</v>
      </c>
    </row>
    <row r="57" spans="1:3">
      <c r="A57" s="474">
        <f>'Cost of Equity'!A95</f>
        <v>41547</v>
      </c>
      <c r="B57" s="473">
        <f>'Cost of Equity'!AV95</f>
        <v>1.8712093354818608E-2</v>
      </c>
      <c r="C57" s="473">
        <f>'Cost of Equity'!AA95</f>
        <v>3.836628082779614E-2</v>
      </c>
    </row>
    <row r="58" spans="1:3">
      <c r="A58" s="474">
        <f>'Cost of Equity'!A96</f>
        <v>41578</v>
      </c>
      <c r="B58" s="473">
        <f>'Cost of Equity'!AV96</f>
        <v>1.8571212315371372E-2</v>
      </c>
      <c r="C58" s="473">
        <f>'Cost of Equity'!AA96</f>
        <v>-5.7652033665779007E-2</v>
      </c>
    </row>
    <row r="59" spans="1:3">
      <c r="A59" s="474">
        <f>'Cost of Equity'!A97</f>
        <v>41607</v>
      </c>
      <c r="B59" s="473">
        <f>'Cost of Equity'!AV97</f>
        <v>1.9017015200810675E-2</v>
      </c>
      <c r="C59" s="473">
        <f>'Cost of Equity'!AA97</f>
        <v>6.9592490671073373E-4</v>
      </c>
    </row>
    <row r="60" spans="1:3">
      <c r="A60" s="474">
        <f>'Cost of Equity'!A98</f>
        <v>41638</v>
      </c>
      <c r="B60" s="473">
        <f>'Cost of Equity'!AV98</f>
        <v>-2.171303511728933E-2</v>
      </c>
      <c r="C60" s="473">
        <f>'Cost of Equity'!AA98</f>
        <v>-3.2934908306401105E-2</v>
      </c>
    </row>
    <row r="61" spans="1:3">
      <c r="A61" s="474">
        <f>'Cost of Equity'!A99</f>
        <v>41670</v>
      </c>
      <c r="B61" s="473">
        <f>'Cost of Equity'!AV99</f>
        <v>4.8294005624158927E-2</v>
      </c>
      <c r="C61" s="473">
        <f>'Cost of Equity'!AA99</f>
        <v>6.3754862354328493E-2</v>
      </c>
    </row>
    <row r="62" spans="1:3">
      <c r="A62" s="474">
        <f>'Cost of Equity'!A100</f>
        <v>41698</v>
      </c>
      <c r="B62" s="473">
        <f>'Cost of Equity'!AV100</f>
        <v>-3.1430512491779782E-3</v>
      </c>
      <c r="C62" s="473">
        <f>'Cost of Equity'!AA100</f>
        <v>0.38376835401002873</v>
      </c>
    </row>
    <row r="63" spans="1:3">
      <c r="A63" s="474">
        <f>'Cost of Equity'!A101</f>
        <v>41729</v>
      </c>
      <c r="B63" s="473">
        <f>'Cost of Equity'!AV101</f>
        <v>-5.2500806689512484E-4</v>
      </c>
      <c r="C63" s="473">
        <f>'Cost of Equity'!AA101</f>
        <v>-3.5230727901756125E-2</v>
      </c>
    </row>
    <row r="64" spans="1:3">
      <c r="A64" s="474">
        <f>'Cost of Equity'!A102</f>
        <v>41759</v>
      </c>
      <c r="B64" s="473">
        <f>'Cost of Equity'!AV102</f>
        <v>2.7149406018873831E-2</v>
      </c>
      <c r="C64" s="473">
        <f>'Cost of Equity'!AA102</f>
        <v>3.5030727901756077E-2</v>
      </c>
    </row>
    <row r="65" spans="1:3">
      <c r="A65" s="474">
        <f>'Cost of Equity'!A103</f>
        <v>41789</v>
      </c>
      <c r="B65" s="473">
        <f>'Cost of Equity'!AV103</f>
        <v>-1.8287619217529194E-2</v>
      </c>
      <c r="C65" s="473">
        <f>'Cost of Equity'!AA103</f>
        <v>3.3381118623450882E-2</v>
      </c>
    </row>
    <row r="66" spans="1:3">
      <c r="A66" s="474">
        <f>'Cost of Equity'!A104</f>
        <v>41820</v>
      </c>
      <c r="B66" s="473">
        <f>'Cost of Equity'!AV104</f>
        <v>2.1200627253165493E-3</v>
      </c>
      <c r="C66" s="473">
        <f>'Cost of Equity'!AA104</f>
        <v>-1.1167769050869465E-3</v>
      </c>
    </row>
    <row r="67" spans="1:3">
      <c r="A67" s="474">
        <f>'Cost of Equity'!A105</f>
        <v>41851</v>
      </c>
      <c r="B67" s="473">
        <f>'Cost of Equity'!AV105</f>
        <v>6.415575138525309E-3</v>
      </c>
      <c r="C67" s="473">
        <f>'Cost of Equity'!AA105</f>
        <v>-0.85702355760522198</v>
      </c>
    </row>
    <row r="68" spans="1:3">
      <c r="A68" s="474">
        <f>'Cost of Equity'!A106</f>
        <v>41880</v>
      </c>
      <c r="B68" s="473">
        <f>'Cost of Equity'!AV106</f>
        <v>1.0007934148607796E-2</v>
      </c>
      <c r="C68" s="473">
        <f>'Cost of Equity'!AA106</f>
        <v>-6.1886170928802539E-2</v>
      </c>
    </row>
    <row r="69" spans="1:3">
      <c r="A69" s="474">
        <f>'Cost of Equity'!A107</f>
        <v>41912</v>
      </c>
      <c r="B69" s="473">
        <f>'Cost of Equity'!AV107</f>
        <v>-1.5477791281131506E-2</v>
      </c>
      <c r="C69" s="473">
        <f>'Cost of Equity'!AA107</f>
        <v>-1.7458198609757863E-2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U64"/>
  <sheetViews>
    <sheetView workbookViewId="0">
      <selection activeCell="L39" sqref="L39"/>
    </sheetView>
  </sheetViews>
  <sheetFormatPr defaultColWidth="9.140625" defaultRowHeight="14.25"/>
  <cols>
    <col min="1" max="1" width="29.7109375" style="271" customWidth="1"/>
    <col min="2" max="2" width="13.42578125" style="271" customWidth="1"/>
    <col min="3" max="3" width="14.28515625" style="271" customWidth="1"/>
    <col min="4" max="4" width="24" style="271" bestFit="1" customWidth="1"/>
    <col min="5" max="5" width="2.7109375" style="274" customWidth="1"/>
    <col min="6" max="6" width="31.28515625" style="271" bestFit="1" customWidth="1"/>
    <col min="7" max="7" width="14.42578125" style="271" customWidth="1"/>
    <col min="8" max="9" width="12.85546875" style="271" bestFit="1" customWidth="1"/>
    <col min="10" max="10" width="15.7109375" style="271" bestFit="1" customWidth="1"/>
    <col min="11" max="11" width="12.85546875" style="271" bestFit="1" customWidth="1"/>
    <col min="12" max="12" width="2.7109375" style="274" customWidth="1"/>
    <col min="13" max="13" width="31.85546875" style="271" customWidth="1"/>
    <col min="14" max="14" width="18" style="271" customWidth="1"/>
    <col min="15" max="15" width="16.42578125" style="271" customWidth="1"/>
    <col min="16" max="16" width="20.140625" style="271" customWidth="1"/>
    <col min="17" max="17" width="14.28515625" style="271" bestFit="1" customWidth="1"/>
    <col min="18" max="18" width="2.7109375" style="271" customWidth="1"/>
    <col min="19" max="16384" width="9.140625" style="271"/>
  </cols>
  <sheetData>
    <row r="1" spans="1:18" ht="15">
      <c r="A1" s="312" t="s">
        <v>219</v>
      </c>
      <c r="B1" s="313"/>
      <c r="C1" s="313"/>
      <c r="D1" s="313"/>
      <c r="E1" s="270"/>
      <c r="F1" s="312" t="s">
        <v>220</v>
      </c>
      <c r="G1" s="313"/>
      <c r="H1" s="313"/>
      <c r="I1" s="313"/>
      <c r="J1" s="313"/>
      <c r="K1" s="313"/>
      <c r="L1" s="270"/>
      <c r="M1" s="312" t="s">
        <v>221</v>
      </c>
      <c r="N1" s="313"/>
      <c r="O1" s="313"/>
      <c r="P1" s="313"/>
      <c r="Q1" s="313"/>
      <c r="R1" s="270"/>
    </row>
    <row r="2" spans="1:18" ht="15">
      <c r="A2" s="272" t="s">
        <v>222</v>
      </c>
      <c r="B2" s="272"/>
      <c r="C2" s="272"/>
      <c r="D2" s="273" t="s">
        <v>313</v>
      </c>
      <c r="E2" s="270"/>
      <c r="F2" s="274"/>
      <c r="G2" s="273">
        <v>2010</v>
      </c>
      <c r="H2" s="273">
        <v>2011</v>
      </c>
      <c r="I2" s="273">
        <v>2012</v>
      </c>
      <c r="J2" s="273">
        <v>2013</v>
      </c>
      <c r="K2" s="273" t="s">
        <v>179</v>
      </c>
      <c r="L2" s="270"/>
      <c r="N2" s="273">
        <v>2010</v>
      </c>
      <c r="O2" s="273">
        <v>2011</v>
      </c>
      <c r="P2" s="273">
        <v>2012</v>
      </c>
      <c r="Q2" s="273">
        <v>2013</v>
      </c>
      <c r="R2" s="270"/>
    </row>
    <row r="3" spans="1:18" ht="15">
      <c r="A3" s="274" t="s">
        <v>204</v>
      </c>
      <c r="B3" s="274"/>
      <c r="C3" s="274"/>
      <c r="D3" s="275" t="s">
        <v>315</v>
      </c>
      <c r="E3" s="270"/>
      <c r="F3" s="272" t="s">
        <v>224</v>
      </c>
      <c r="G3" s="276">
        <v>13958</v>
      </c>
      <c r="H3" s="276">
        <v>13641</v>
      </c>
      <c r="I3" s="276">
        <v>12695</v>
      </c>
      <c r="J3" s="276">
        <v>10775</v>
      </c>
      <c r="K3" s="276"/>
      <c r="L3" s="270"/>
      <c r="M3" s="274" t="s">
        <v>155</v>
      </c>
      <c r="N3" s="277">
        <v>290</v>
      </c>
      <c r="O3" s="278">
        <v>290</v>
      </c>
      <c r="P3" s="278">
        <v>277</v>
      </c>
      <c r="Q3" s="278">
        <v>282</v>
      </c>
      <c r="R3" s="270"/>
    </row>
    <row r="4" spans="1:18">
      <c r="A4" s="274" t="s">
        <v>225</v>
      </c>
      <c r="B4" s="274"/>
      <c r="C4" s="274"/>
      <c r="D4" s="275" t="s">
        <v>316</v>
      </c>
      <c r="E4" s="270"/>
      <c r="F4" s="274" t="s">
        <v>177</v>
      </c>
      <c r="G4" s="277">
        <v>11262</v>
      </c>
      <c r="H4" s="277">
        <v>10937</v>
      </c>
      <c r="I4" s="277">
        <v>11401</v>
      </c>
      <c r="J4" s="277">
        <v>9761</v>
      </c>
      <c r="K4" s="277"/>
      <c r="L4" s="270"/>
      <c r="M4" s="279" t="s">
        <v>227</v>
      </c>
      <c r="N4" s="280"/>
      <c r="O4" s="280"/>
      <c r="P4" s="280">
        <f>P3/I3</f>
        <v>2.1819614021268217E-2</v>
      </c>
      <c r="Q4" s="280">
        <f>Q3/J3</f>
        <v>2.6171693735498838E-2</v>
      </c>
      <c r="R4" s="270"/>
    </row>
    <row r="5" spans="1:18" ht="15">
      <c r="A5" s="274" t="s">
        <v>228</v>
      </c>
      <c r="B5" s="274"/>
      <c r="C5" s="274"/>
      <c r="D5" s="281">
        <v>41639</v>
      </c>
      <c r="E5" s="270"/>
      <c r="F5" s="272" t="s">
        <v>63</v>
      </c>
      <c r="G5" s="276">
        <f t="shared" ref="G5:H5" si="0">G3-G4</f>
        <v>2696</v>
      </c>
      <c r="H5" s="276">
        <f t="shared" si="0"/>
        <v>2704</v>
      </c>
      <c r="I5" s="276">
        <f>I3-I4</f>
        <v>1294</v>
      </c>
      <c r="J5" s="276">
        <f>J3-J4</f>
        <v>1014</v>
      </c>
      <c r="K5" s="276"/>
      <c r="L5" s="270"/>
      <c r="M5" s="274" t="s">
        <v>150</v>
      </c>
      <c r="N5" s="278"/>
      <c r="O5" s="278">
        <v>429</v>
      </c>
      <c r="P5" s="278">
        <v>309</v>
      </c>
      <c r="Q5" s="278">
        <v>167</v>
      </c>
      <c r="R5" s="270"/>
    </row>
    <row r="6" spans="1:18">
      <c r="A6" s="274" t="s">
        <v>229</v>
      </c>
      <c r="B6" s="274"/>
      <c r="C6" s="274"/>
      <c r="D6" s="275"/>
      <c r="E6" s="270"/>
      <c r="F6" s="274" t="s">
        <v>231</v>
      </c>
      <c r="G6" s="277">
        <v>1434</v>
      </c>
      <c r="H6" s="277">
        <v>1407</v>
      </c>
      <c r="I6" s="277">
        <v>1419</v>
      </c>
      <c r="J6" s="277">
        <v>1215</v>
      </c>
      <c r="K6" s="277"/>
      <c r="L6" s="270"/>
      <c r="M6" s="279" t="s">
        <v>227</v>
      </c>
      <c r="N6" s="280"/>
      <c r="O6" s="280"/>
      <c r="P6" s="280">
        <f>P5/I3</f>
        <v>2.4340291453328083E-2</v>
      </c>
      <c r="Q6" s="280">
        <f>Q5/J3</f>
        <v>1.5498839907192575E-2</v>
      </c>
      <c r="R6" s="270"/>
    </row>
    <row r="7" spans="1:18">
      <c r="A7" s="274" t="s">
        <v>232</v>
      </c>
      <c r="B7" s="274"/>
      <c r="C7" s="274"/>
      <c r="D7" s="275"/>
      <c r="E7" s="270"/>
      <c r="F7" s="274" t="s">
        <v>233</v>
      </c>
      <c r="G7" s="277">
        <v>695</v>
      </c>
      <c r="H7" s="277">
        <v>615</v>
      </c>
      <c r="I7" s="277">
        <v>727</v>
      </c>
      <c r="J7" s="277">
        <v>452</v>
      </c>
      <c r="K7" s="277"/>
      <c r="L7" s="270"/>
      <c r="M7" s="274"/>
      <c r="N7" s="274"/>
      <c r="O7" s="274"/>
      <c r="P7" s="274"/>
      <c r="Q7" s="274"/>
      <c r="R7" s="270"/>
    </row>
    <row r="8" spans="1:18" ht="15">
      <c r="A8" s="274" t="s">
        <v>234</v>
      </c>
      <c r="B8" s="274"/>
      <c r="C8" s="274"/>
      <c r="D8" s="275"/>
      <c r="E8" s="270"/>
      <c r="F8" s="272" t="s">
        <v>195</v>
      </c>
      <c r="G8" s="276">
        <f>G5-G6-G7</f>
        <v>567</v>
      </c>
      <c r="H8" s="276">
        <f>H5-H6-H7</f>
        <v>682</v>
      </c>
      <c r="I8" s="276">
        <f>I5-I6-I7</f>
        <v>-852</v>
      </c>
      <c r="J8" s="276">
        <f>J5-J6-J7</f>
        <v>-653</v>
      </c>
      <c r="K8" s="276"/>
      <c r="L8" s="270"/>
      <c r="M8" s="270"/>
      <c r="N8" s="270"/>
      <c r="O8" s="270"/>
      <c r="P8" s="270"/>
      <c r="Q8" s="270"/>
      <c r="R8" s="270"/>
    </row>
    <row r="9" spans="1:18" ht="15">
      <c r="A9" s="274" t="s">
        <v>24</v>
      </c>
      <c r="B9" s="274"/>
      <c r="C9" s="274"/>
      <c r="D9" s="282">
        <v>0.29580000000000001</v>
      </c>
      <c r="E9" s="270"/>
      <c r="F9" s="274" t="s">
        <v>235</v>
      </c>
      <c r="G9" s="277">
        <v>247</v>
      </c>
      <c r="H9" s="277">
        <v>247</v>
      </c>
      <c r="I9" s="277">
        <v>259</v>
      </c>
      <c r="J9" s="277">
        <v>321</v>
      </c>
      <c r="K9" s="277"/>
      <c r="L9" s="270"/>
      <c r="M9" s="312" t="s">
        <v>236</v>
      </c>
      <c r="N9" s="313"/>
      <c r="O9" s="313"/>
      <c r="P9" s="313"/>
      <c r="Q9" s="313"/>
      <c r="R9" s="270"/>
    </row>
    <row r="10" spans="1:18" ht="15">
      <c r="A10" s="270"/>
      <c r="B10" s="270"/>
      <c r="C10" s="270"/>
      <c r="D10" s="270"/>
      <c r="E10" s="270"/>
      <c r="F10" s="272" t="s">
        <v>237</v>
      </c>
      <c r="G10" s="276">
        <f>G8-G9</f>
        <v>320</v>
      </c>
      <c r="H10" s="276">
        <f t="shared" ref="H10:J10" si="1">H8-H9</f>
        <v>435</v>
      </c>
      <c r="I10" s="276">
        <f>I8-I9</f>
        <v>-1111</v>
      </c>
      <c r="J10" s="276">
        <f t="shared" si="1"/>
        <v>-974</v>
      </c>
      <c r="K10" s="277"/>
      <c r="L10" s="270"/>
      <c r="M10" s="274"/>
      <c r="N10" s="274"/>
      <c r="O10" s="274"/>
      <c r="P10" s="273">
        <v>2012</v>
      </c>
      <c r="Q10" s="273">
        <v>2013</v>
      </c>
      <c r="R10" s="270"/>
    </row>
    <row r="11" spans="1:18" ht="15">
      <c r="A11" s="312" t="s">
        <v>238</v>
      </c>
      <c r="B11" s="313"/>
      <c r="C11" s="313"/>
      <c r="D11" s="313"/>
      <c r="E11" s="270"/>
      <c r="F11" s="274" t="s">
        <v>59</v>
      </c>
      <c r="G11" s="277">
        <v>1458</v>
      </c>
      <c r="H11" s="277">
        <v>1417</v>
      </c>
      <c r="I11" s="277">
        <v>1780</v>
      </c>
      <c r="J11" s="277">
        <v>-171</v>
      </c>
      <c r="K11" s="277"/>
      <c r="L11" s="270"/>
      <c r="M11" s="274" t="s">
        <v>239</v>
      </c>
      <c r="N11" s="274"/>
      <c r="O11" s="274"/>
      <c r="P11" s="277">
        <v>1087</v>
      </c>
      <c r="Q11" s="277">
        <v>755</v>
      </c>
      <c r="R11" s="270"/>
    </row>
    <row r="12" spans="1:18">
      <c r="A12" s="274" t="s">
        <v>240</v>
      </c>
      <c r="B12" s="283">
        <v>41639</v>
      </c>
      <c r="C12" s="284"/>
      <c r="D12" s="285">
        <v>38.19</v>
      </c>
      <c r="E12" s="270"/>
      <c r="F12" s="274" t="s">
        <v>241</v>
      </c>
      <c r="G12" s="277">
        <v>55</v>
      </c>
      <c r="H12" s="277">
        <v>55</v>
      </c>
      <c r="I12" s="277">
        <v>48</v>
      </c>
      <c r="J12" s="277">
        <v>54</v>
      </c>
      <c r="K12" s="277"/>
      <c r="L12" s="270"/>
      <c r="M12" s="274" t="s">
        <v>242</v>
      </c>
      <c r="N12" s="274"/>
      <c r="O12" s="274"/>
      <c r="P12" s="277">
        <v>749</v>
      </c>
      <c r="Q12" s="277">
        <v>737</v>
      </c>
      <c r="R12" s="270"/>
    </row>
    <row r="13" spans="1:18">
      <c r="A13" s="279" t="s">
        <v>243</v>
      </c>
      <c r="B13" s="274"/>
      <c r="C13" s="286"/>
      <c r="D13" s="287">
        <f>D12/D15</f>
        <v>2.0335463258785942</v>
      </c>
      <c r="E13" s="270"/>
      <c r="F13" s="274" t="s">
        <v>244</v>
      </c>
      <c r="G13" s="277">
        <v>0</v>
      </c>
      <c r="H13" s="277">
        <v>74</v>
      </c>
      <c r="I13" s="277">
        <v>0</v>
      </c>
      <c r="J13" s="277">
        <v>0</v>
      </c>
      <c r="K13" s="277"/>
      <c r="L13" s="270"/>
      <c r="M13" s="274" t="s">
        <v>105</v>
      </c>
      <c r="N13" s="274"/>
      <c r="O13" s="274"/>
      <c r="P13" s="277">
        <v>1537</v>
      </c>
      <c r="Q13" s="277">
        <v>1210</v>
      </c>
      <c r="R13" s="270"/>
    </row>
    <row r="14" spans="1:18">
      <c r="A14" s="274" t="s">
        <v>245</v>
      </c>
      <c r="B14" s="274"/>
      <c r="C14" s="284"/>
      <c r="D14" s="287"/>
      <c r="E14" s="270"/>
      <c r="F14" s="274" t="s">
        <v>317</v>
      </c>
      <c r="G14" s="277">
        <v>0</v>
      </c>
      <c r="H14" s="277"/>
      <c r="I14" s="277">
        <v>71</v>
      </c>
      <c r="J14" s="277">
        <v>41</v>
      </c>
      <c r="K14" s="277"/>
      <c r="L14" s="270"/>
      <c r="M14" s="274" t="s">
        <v>246</v>
      </c>
      <c r="N14" s="274"/>
      <c r="O14" s="274"/>
      <c r="P14" s="277">
        <v>2464</v>
      </c>
      <c r="Q14" s="277">
        <v>2757</v>
      </c>
      <c r="R14" s="270"/>
    </row>
    <row r="15" spans="1:18" ht="15">
      <c r="A15" s="274" t="s">
        <v>247</v>
      </c>
      <c r="B15" s="274"/>
      <c r="C15" s="284"/>
      <c r="D15" s="285">
        <v>18.78</v>
      </c>
      <c r="E15" s="270"/>
      <c r="F15" s="272" t="s">
        <v>55</v>
      </c>
      <c r="G15" s="276">
        <f>G10+G11-G12</f>
        <v>1723</v>
      </c>
      <c r="H15" s="276">
        <f>H10+H11-H12-H13</f>
        <v>1723</v>
      </c>
      <c r="I15" s="276">
        <f>I10-SUM(I11:I14)</f>
        <v>-3010</v>
      </c>
      <c r="J15" s="276">
        <f>J10-SUM(J11:J14)</f>
        <v>-898</v>
      </c>
      <c r="K15" s="276"/>
      <c r="L15" s="270"/>
      <c r="M15" s="272" t="s">
        <v>248</v>
      </c>
      <c r="N15" s="272"/>
      <c r="O15" s="272"/>
      <c r="P15" s="276">
        <f>SUM(P11:P14)</f>
        <v>5837</v>
      </c>
      <c r="Q15" s="276">
        <f>SUM(Q11:Q14)</f>
        <v>5459</v>
      </c>
      <c r="R15" s="270"/>
    </row>
    <row r="16" spans="1:18" ht="15">
      <c r="A16" s="274" t="s">
        <v>249</v>
      </c>
      <c r="B16" s="274"/>
      <c r="C16" s="284"/>
      <c r="D16" s="285">
        <v>39.79</v>
      </c>
      <c r="E16" s="270"/>
      <c r="F16" s="272"/>
      <c r="G16" s="274"/>
      <c r="H16" s="274"/>
      <c r="I16" s="274"/>
      <c r="J16" s="274"/>
      <c r="K16" s="274"/>
      <c r="L16" s="270"/>
      <c r="M16" s="274"/>
      <c r="N16" s="274"/>
      <c r="O16" s="274"/>
      <c r="P16" s="277"/>
      <c r="Q16" s="276"/>
      <c r="R16" s="270"/>
    </row>
    <row r="17" spans="1:18">
      <c r="A17" s="274"/>
      <c r="B17" s="274"/>
      <c r="C17" s="275"/>
      <c r="D17" s="285">
        <v>0</v>
      </c>
      <c r="E17" s="270"/>
      <c r="F17" s="274" t="s">
        <v>250</v>
      </c>
      <c r="G17" s="277">
        <v>0</v>
      </c>
      <c r="H17" s="277">
        <v>0</v>
      </c>
      <c r="I17" s="277">
        <v>0</v>
      </c>
      <c r="J17" s="277">
        <v>0</v>
      </c>
      <c r="K17" s="277"/>
      <c r="L17" s="270"/>
      <c r="M17" s="274" t="s">
        <v>252</v>
      </c>
      <c r="N17" s="274"/>
      <c r="O17" s="274"/>
      <c r="P17" s="277">
        <v>1660</v>
      </c>
      <c r="Q17" s="277">
        <v>1741</v>
      </c>
      <c r="R17" s="270"/>
    </row>
    <row r="18" spans="1:18">
      <c r="A18" s="274" t="s">
        <v>253</v>
      </c>
      <c r="B18" s="274"/>
      <c r="C18" s="274"/>
      <c r="D18" s="275">
        <f>80.4</f>
        <v>80.400000000000006</v>
      </c>
      <c r="E18" s="270"/>
      <c r="F18" s="274" t="s">
        <v>251</v>
      </c>
      <c r="G18" s="277">
        <v>72.8</v>
      </c>
      <c r="H18" s="277">
        <v>76.099999999999994</v>
      </c>
      <c r="I18" s="277">
        <v>69.099999999999994</v>
      </c>
      <c r="J18" s="277">
        <v>80.400000000000006</v>
      </c>
      <c r="K18" s="277"/>
      <c r="L18" s="270"/>
      <c r="M18" s="274" t="s">
        <v>255</v>
      </c>
      <c r="N18" s="274"/>
      <c r="O18" s="274"/>
      <c r="P18" s="277">
        <v>451</v>
      </c>
      <c r="Q18" s="277">
        <v>322</v>
      </c>
      <c r="R18" s="270"/>
    </row>
    <row r="19" spans="1:18" ht="15">
      <c r="A19" s="272" t="s">
        <v>256</v>
      </c>
      <c r="B19" s="274"/>
      <c r="C19" s="289"/>
      <c r="D19" s="290">
        <f>D12*D18</f>
        <v>3070.4760000000001</v>
      </c>
      <c r="E19" s="270"/>
      <c r="F19" s="274" t="s">
        <v>254</v>
      </c>
      <c r="G19" s="277">
        <v>0</v>
      </c>
      <c r="H19" s="277">
        <v>23.61</v>
      </c>
      <c r="I19" s="277">
        <v>-42.53</v>
      </c>
      <c r="J19" s="277">
        <v>-10.66</v>
      </c>
      <c r="K19" s="277"/>
      <c r="L19" s="270"/>
      <c r="M19" s="274" t="s">
        <v>257</v>
      </c>
      <c r="N19" s="274"/>
      <c r="O19" s="274"/>
      <c r="P19" s="277">
        <v>1154</v>
      </c>
      <c r="Q19" s="277">
        <v>793</v>
      </c>
      <c r="R19" s="270"/>
    </row>
    <row r="20" spans="1:18" ht="15">
      <c r="A20" s="274" t="s">
        <v>258</v>
      </c>
      <c r="B20" s="274"/>
      <c r="C20" s="284"/>
      <c r="D20" s="290">
        <f>Q29</f>
        <v>11916</v>
      </c>
      <c r="E20" s="270"/>
      <c r="F20" s="274"/>
      <c r="G20" s="274"/>
      <c r="H20" s="274"/>
      <c r="I20" s="274"/>
      <c r="J20" s="291"/>
      <c r="K20" s="291"/>
      <c r="L20" s="270"/>
      <c r="M20" s="272" t="s">
        <v>97</v>
      </c>
      <c r="N20" s="272"/>
      <c r="O20" s="272"/>
      <c r="P20" s="276">
        <f>P15+P17+P18+P19</f>
        <v>9102</v>
      </c>
      <c r="Q20" s="276">
        <f>Q16+Q17+Q18+Q19+Q15</f>
        <v>8315</v>
      </c>
      <c r="R20" s="270"/>
    </row>
    <row r="21" spans="1:18">
      <c r="A21" s="274" t="s">
        <v>183</v>
      </c>
      <c r="B21" s="274"/>
      <c r="C21" s="284"/>
      <c r="D21" s="288">
        <v>0</v>
      </c>
      <c r="E21" s="270"/>
      <c r="F21" s="270"/>
      <c r="G21" s="270"/>
      <c r="H21" s="270"/>
      <c r="I21" s="270"/>
      <c r="J21" s="270"/>
      <c r="K21" s="270"/>
      <c r="L21" s="270"/>
      <c r="M21" s="274"/>
      <c r="N21" s="274"/>
      <c r="O21" s="274"/>
      <c r="P21" s="277"/>
      <c r="Q21" s="277"/>
      <c r="R21" s="270"/>
    </row>
    <row r="22" spans="1:18" ht="15">
      <c r="A22" s="274" t="s">
        <v>241</v>
      </c>
      <c r="B22" s="274"/>
      <c r="C22" s="284"/>
      <c r="D22" s="288">
        <f>J12</f>
        <v>54</v>
      </c>
      <c r="E22" s="270"/>
      <c r="F22" s="312" t="s">
        <v>259</v>
      </c>
      <c r="G22" s="313"/>
      <c r="H22" s="313"/>
      <c r="I22" s="313"/>
      <c r="J22" s="313"/>
      <c r="K22" s="313"/>
      <c r="L22" s="270"/>
      <c r="M22" s="274" t="s">
        <v>261</v>
      </c>
      <c r="N22" s="274"/>
      <c r="O22" s="274"/>
      <c r="P22" s="277">
        <v>2891</v>
      </c>
      <c r="Q22" s="277">
        <v>2665</v>
      </c>
      <c r="R22" s="270"/>
    </row>
    <row r="23" spans="1:18">
      <c r="A23" s="274" t="s">
        <v>239</v>
      </c>
      <c r="B23" s="274"/>
      <c r="C23" s="284"/>
      <c r="D23" s="288">
        <f>Q11</f>
        <v>755</v>
      </c>
      <c r="E23" s="270"/>
      <c r="F23" s="274" t="s">
        <v>260</v>
      </c>
      <c r="G23" s="277">
        <f>G5</f>
        <v>2696</v>
      </c>
      <c r="H23" s="277">
        <f>H5</f>
        <v>2704</v>
      </c>
      <c r="I23" s="277">
        <f>I5</f>
        <v>1294</v>
      </c>
      <c r="J23" s="277">
        <f>J5</f>
        <v>1014</v>
      </c>
      <c r="K23" s="277"/>
      <c r="L23" s="270"/>
      <c r="M23" s="274" t="s">
        <v>263</v>
      </c>
      <c r="N23" s="274"/>
      <c r="O23" s="274"/>
      <c r="P23" s="277">
        <v>0</v>
      </c>
      <c r="Q23" s="277">
        <v>0</v>
      </c>
      <c r="R23" s="270"/>
    </row>
    <row r="24" spans="1:18" ht="15">
      <c r="A24" s="272" t="s">
        <v>264</v>
      </c>
      <c r="B24" s="274"/>
      <c r="C24" s="289"/>
      <c r="D24" s="340">
        <f>D19+D20+D21+D22-D23</f>
        <v>14285.476000000001</v>
      </c>
      <c r="E24" s="270"/>
      <c r="F24" s="274" t="s">
        <v>262</v>
      </c>
      <c r="G24" s="277">
        <v>0</v>
      </c>
      <c r="H24" s="277">
        <v>0</v>
      </c>
      <c r="I24" s="277">
        <v>0</v>
      </c>
      <c r="J24" s="277">
        <v>0</v>
      </c>
      <c r="K24" s="277"/>
      <c r="L24" s="270"/>
      <c r="M24" s="274" t="s">
        <v>266</v>
      </c>
      <c r="N24" s="274"/>
      <c r="O24" s="274"/>
      <c r="P24" s="277">
        <v>1462</v>
      </c>
      <c r="Q24" s="277">
        <v>1596</v>
      </c>
      <c r="R24" s="270"/>
    </row>
    <row r="25" spans="1:18" ht="15">
      <c r="D25" s="290"/>
      <c r="E25" s="270"/>
      <c r="F25" s="272" t="s">
        <v>265</v>
      </c>
      <c r="G25" s="276">
        <v>0</v>
      </c>
      <c r="H25" s="276">
        <v>0</v>
      </c>
      <c r="I25" s="276">
        <v>0</v>
      </c>
      <c r="J25" s="276">
        <v>0</v>
      </c>
      <c r="K25" s="276"/>
      <c r="L25" s="270"/>
      <c r="M25" s="272" t="s">
        <v>94</v>
      </c>
      <c r="N25" s="272"/>
      <c r="O25" s="272"/>
      <c r="P25" s="276">
        <f>SUM(P22:P24)</f>
        <v>4353</v>
      </c>
      <c r="Q25" s="276">
        <f>SUM(Q22:Q24)</f>
        <v>4261</v>
      </c>
      <c r="R25" s="270"/>
    </row>
    <row r="26" spans="1:18">
      <c r="A26" s="270"/>
      <c r="B26" s="270"/>
      <c r="C26" s="270"/>
      <c r="D26" s="270"/>
      <c r="E26" s="270"/>
      <c r="F26" s="279" t="s">
        <v>154</v>
      </c>
      <c r="G26" s="292">
        <f t="shared" ref="G26:I26" si="2">IFERROR(G25/G$3,"")</f>
        <v>0</v>
      </c>
      <c r="H26" s="292">
        <f t="shared" si="2"/>
        <v>0</v>
      </c>
      <c r="I26" s="292">
        <f t="shared" si="2"/>
        <v>0</v>
      </c>
      <c r="J26" s="292">
        <f>IFERROR(J25/J$3,"")</f>
        <v>0</v>
      </c>
      <c r="K26" s="292"/>
      <c r="L26" s="270"/>
      <c r="M26" s="274"/>
      <c r="N26" s="274"/>
      <c r="O26" s="274"/>
      <c r="P26" s="277"/>
      <c r="Q26" s="277"/>
      <c r="R26" s="270"/>
    </row>
    <row r="27" spans="1:18" ht="15">
      <c r="A27" s="312" t="s">
        <v>267</v>
      </c>
      <c r="B27" s="313"/>
      <c r="C27" s="313"/>
      <c r="D27" s="313"/>
      <c r="E27" s="270"/>
      <c r="F27" s="274"/>
      <c r="G27" s="277"/>
      <c r="H27" s="277"/>
      <c r="I27" s="277"/>
      <c r="J27" s="277"/>
      <c r="K27" s="277"/>
      <c r="L27" s="270"/>
      <c r="M27" s="274" t="s">
        <v>258</v>
      </c>
      <c r="N27" s="274"/>
      <c r="O27" s="274"/>
      <c r="P27" s="277">
        <v>3566</v>
      </c>
      <c r="Q27" s="277">
        <v>3922</v>
      </c>
      <c r="R27" s="270"/>
    </row>
    <row r="28" spans="1:18" ht="15">
      <c r="D28" s="273">
        <v>2013</v>
      </c>
      <c r="E28" s="270"/>
      <c r="F28" s="274" t="s">
        <v>268</v>
      </c>
      <c r="G28" s="277">
        <f>G8</f>
        <v>567</v>
      </c>
      <c r="H28" s="277">
        <f>H8</f>
        <v>682</v>
      </c>
      <c r="I28" s="277">
        <f>I8</f>
        <v>-852</v>
      </c>
      <c r="J28" s="277">
        <f>J8</f>
        <v>-653</v>
      </c>
      <c r="K28" s="277"/>
      <c r="L28" s="270"/>
      <c r="M28" s="274" t="s">
        <v>269</v>
      </c>
      <c r="N28" s="274"/>
      <c r="O28" s="274"/>
      <c r="P28" s="277">
        <v>4443</v>
      </c>
      <c r="Q28" s="277">
        <v>3733</v>
      </c>
      <c r="R28" s="270"/>
    </row>
    <row r="29" spans="1:18" ht="15">
      <c r="A29" s="272" t="s">
        <v>270</v>
      </c>
      <c r="B29" s="274"/>
      <c r="D29" s="293">
        <f>D24/J3</f>
        <v>1.3257982366589327</v>
      </c>
      <c r="E29" s="270"/>
      <c r="F29" s="274" t="s">
        <v>262</v>
      </c>
      <c r="G29" s="277">
        <v>0</v>
      </c>
      <c r="H29" s="277">
        <v>0</v>
      </c>
      <c r="I29" s="277">
        <v>0</v>
      </c>
      <c r="J29" s="277">
        <v>0</v>
      </c>
      <c r="K29" s="277"/>
      <c r="L29" s="270"/>
      <c r="M29" s="272" t="s">
        <v>88</v>
      </c>
      <c r="N29" s="272"/>
      <c r="O29" s="272"/>
      <c r="P29" s="276">
        <f>P25+P27+P28</f>
        <v>12362</v>
      </c>
      <c r="Q29" s="276">
        <f>Q25+Q27+Q28</f>
        <v>11916</v>
      </c>
      <c r="R29" s="270"/>
    </row>
    <row r="30" spans="1:18">
      <c r="A30" s="274"/>
      <c r="B30" s="274"/>
      <c r="E30" s="270"/>
      <c r="F30" s="274" t="s">
        <v>271</v>
      </c>
      <c r="G30" s="277">
        <v>0</v>
      </c>
      <c r="H30" s="277">
        <v>0</v>
      </c>
      <c r="I30" s="277">
        <v>0</v>
      </c>
      <c r="J30" s="277">
        <v>0</v>
      </c>
      <c r="K30" s="277"/>
      <c r="L30" s="270"/>
      <c r="M30" s="274"/>
      <c r="N30" s="274"/>
      <c r="O30" s="274"/>
      <c r="P30" s="277"/>
      <c r="Q30" s="277"/>
      <c r="R30" s="270"/>
    </row>
    <row r="31" spans="1:18" ht="15">
      <c r="A31" s="272" t="s">
        <v>273</v>
      </c>
      <c r="B31" s="274"/>
      <c r="D31" s="293">
        <f>D24/(J8+Q3)</f>
        <v>-38.505326145552566</v>
      </c>
      <c r="E31" s="270"/>
      <c r="F31" s="272" t="s">
        <v>272</v>
      </c>
      <c r="G31" s="276">
        <v>0</v>
      </c>
      <c r="H31" s="276">
        <v>0</v>
      </c>
      <c r="I31" s="276">
        <v>0</v>
      </c>
      <c r="J31" s="276">
        <v>0</v>
      </c>
      <c r="K31" s="276"/>
      <c r="L31" s="270"/>
      <c r="M31" s="274" t="s">
        <v>241</v>
      </c>
      <c r="N31" s="274"/>
      <c r="O31" s="274"/>
      <c r="P31" s="277"/>
      <c r="Q31" s="277"/>
      <c r="R31" s="270"/>
    </row>
    <row r="32" spans="1:18">
      <c r="A32" s="274"/>
      <c r="B32" s="274"/>
      <c r="E32" s="270"/>
      <c r="F32" s="279" t="s">
        <v>154</v>
      </c>
      <c r="G32" s="292">
        <f t="shared" ref="G32:I32" si="3">IFERROR(G31/G$3,"")</f>
        <v>0</v>
      </c>
      <c r="H32" s="292">
        <f t="shared" si="3"/>
        <v>0</v>
      </c>
      <c r="I32" s="292">
        <f t="shared" si="3"/>
        <v>0</v>
      </c>
      <c r="J32" s="292">
        <f>IFERROR(J31/J$3,"")</f>
        <v>0</v>
      </c>
      <c r="K32" s="292"/>
      <c r="L32" s="270"/>
      <c r="M32" s="274" t="s">
        <v>183</v>
      </c>
      <c r="N32" s="274"/>
      <c r="O32" s="274"/>
      <c r="P32" s="277"/>
      <c r="Q32" s="277"/>
      <c r="R32" s="270"/>
    </row>
    <row r="33" spans="1:21" ht="15">
      <c r="A33" s="272" t="s">
        <v>274</v>
      </c>
      <c r="B33" s="274"/>
      <c r="D33" s="293">
        <f>D24/J8</f>
        <v>-21.87668606431853</v>
      </c>
      <c r="E33" s="270"/>
      <c r="F33" s="274"/>
      <c r="G33" s="277"/>
      <c r="H33" s="277"/>
      <c r="I33" s="277"/>
      <c r="J33" s="277"/>
      <c r="K33" s="277"/>
      <c r="L33" s="270"/>
      <c r="M33" s="274" t="s">
        <v>275</v>
      </c>
      <c r="N33" s="274"/>
      <c r="O33" s="274"/>
      <c r="P33" s="277">
        <v>-3260</v>
      </c>
      <c r="Q33" s="277">
        <v>-3601</v>
      </c>
      <c r="R33" s="270"/>
    </row>
    <row r="34" spans="1:21" ht="15">
      <c r="A34" s="274"/>
      <c r="B34" s="274"/>
      <c r="E34" s="270"/>
      <c r="F34" s="274" t="s">
        <v>151</v>
      </c>
      <c r="G34" s="277">
        <v>0</v>
      </c>
      <c r="H34" s="277">
        <v>0</v>
      </c>
      <c r="I34" s="277">
        <v>0</v>
      </c>
      <c r="J34" s="277">
        <v>0</v>
      </c>
      <c r="K34" s="277"/>
      <c r="L34" s="270"/>
      <c r="M34" s="296" t="s">
        <v>277</v>
      </c>
      <c r="N34" s="296"/>
      <c r="O34" s="296"/>
      <c r="P34" s="297">
        <f>P29+P33+P32+P31</f>
        <v>9102</v>
      </c>
      <c r="Q34" s="297">
        <f>Q29+Q33+Q32+Q31</f>
        <v>8315</v>
      </c>
      <c r="R34" s="270"/>
    </row>
    <row r="35" spans="1:21" ht="15">
      <c r="A35" s="272" t="s">
        <v>278</v>
      </c>
      <c r="B35" s="274"/>
      <c r="D35" s="293">
        <f>D12/J19</f>
        <v>-3.5825515947467164</v>
      </c>
      <c r="E35" s="270"/>
      <c r="F35" s="272" t="s">
        <v>276</v>
      </c>
      <c r="G35" s="276">
        <v>0</v>
      </c>
      <c r="H35" s="276">
        <v>0</v>
      </c>
      <c r="I35" s="276">
        <v>0</v>
      </c>
      <c r="J35" s="276">
        <v>0</v>
      </c>
      <c r="K35" s="276"/>
      <c r="L35" s="270"/>
      <c r="M35" s="279" t="s">
        <v>279</v>
      </c>
      <c r="N35" s="274"/>
      <c r="O35" s="274"/>
      <c r="P35" s="277">
        <v>0</v>
      </c>
      <c r="Q35" s="277">
        <v>0</v>
      </c>
      <c r="R35" s="270"/>
    </row>
    <row r="36" spans="1:21">
      <c r="A36" s="274"/>
      <c r="B36" s="274"/>
      <c r="C36" s="274"/>
      <c r="E36" s="270"/>
      <c r="F36" s="279" t="s">
        <v>154</v>
      </c>
      <c r="G36" s="292">
        <f t="shared" ref="G36:I36" si="4">IFERROR(G35/G$3,"")</f>
        <v>0</v>
      </c>
      <c r="H36" s="292">
        <f t="shared" si="4"/>
        <v>0</v>
      </c>
      <c r="I36" s="292">
        <f t="shared" si="4"/>
        <v>0</v>
      </c>
      <c r="J36" s="292">
        <f>IFERROR(J35/J$3,"")</f>
        <v>0</v>
      </c>
      <c r="K36" s="292"/>
      <c r="L36" s="270"/>
      <c r="R36" s="270"/>
    </row>
    <row r="37" spans="1:21" ht="15" customHeight="1">
      <c r="A37" s="298"/>
      <c r="B37" s="299"/>
      <c r="C37" s="299"/>
      <c r="D37" s="275"/>
      <c r="E37" s="270"/>
      <c r="F37" s="274"/>
      <c r="G37" s="274"/>
      <c r="H37" s="274"/>
      <c r="I37" s="274"/>
      <c r="J37" s="274"/>
      <c r="K37" s="274"/>
      <c r="L37" s="270"/>
      <c r="M37" s="270"/>
      <c r="N37" s="270"/>
      <c r="O37" s="270"/>
      <c r="P37" s="270"/>
      <c r="Q37" s="270"/>
      <c r="R37" s="270"/>
    </row>
    <row r="38" spans="1:21" ht="15">
      <c r="A38" s="274"/>
      <c r="B38" s="274"/>
      <c r="C38" s="300"/>
      <c r="D38" s="299"/>
      <c r="E38" s="270"/>
      <c r="F38" s="274" t="s">
        <v>280</v>
      </c>
      <c r="G38" s="277">
        <v>0</v>
      </c>
      <c r="H38" s="277">
        <v>0</v>
      </c>
      <c r="I38" s="277">
        <v>0</v>
      </c>
      <c r="J38" s="277">
        <v>0</v>
      </c>
      <c r="K38" s="277"/>
      <c r="L38" s="270"/>
      <c r="M38" s="312" t="s">
        <v>281</v>
      </c>
      <c r="N38" s="313"/>
      <c r="O38" s="313"/>
      <c r="P38" s="313"/>
      <c r="Q38" s="313"/>
      <c r="R38" s="270"/>
    </row>
    <row r="39" spans="1:21">
      <c r="A39" s="274"/>
      <c r="B39" s="274"/>
      <c r="C39" s="174"/>
      <c r="D39" s="277"/>
      <c r="E39" s="270"/>
      <c r="F39" s="274" t="s">
        <v>262</v>
      </c>
      <c r="G39" s="277">
        <v>0</v>
      </c>
      <c r="H39" s="277">
        <v>0</v>
      </c>
      <c r="I39" s="277">
        <v>0</v>
      </c>
      <c r="J39" s="277">
        <v>0</v>
      </c>
      <c r="K39" s="277"/>
      <c r="L39" s="270"/>
      <c r="M39" s="274"/>
      <c r="N39" s="302"/>
      <c r="O39" s="274"/>
      <c r="P39" s="274"/>
      <c r="Q39" s="274"/>
      <c r="R39" s="270"/>
    </row>
    <row r="40" spans="1:21">
      <c r="A40" s="274"/>
      <c r="B40" s="274"/>
      <c r="C40" s="174"/>
      <c r="D40" s="301"/>
      <c r="E40" s="270"/>
      <c r="F40" s="274" t="s">
        <v>271</v>
      </c>
      <c r="G40" s="277">
        <v>0</v>
      </c>
      <c r="H40" s="277">
        <v>0</v>
      </c>
      <c r="I40" s="277">
        <v>0</v>
      </c>
      <c r="J40" s="277">
        <v>0</v>
      </c>
      <c r="K40" s="277"/>
      <c r="L40" s="270"/>
      <c r="M40" s="274"/>
      <c r="N40" s="277"/>
      <c r="O40" s="274"/>
      <c r="P40" s="274"/>
      <c r="Q40" s="274"/>
      <c r="R40" s="270"/>
    </row>
    <row r="41" spans="1:21">
      <c r="A41" s="274"/>
      <c r="B41" s="274"/>
      <c r="C41" s="277"/>
      <c r="D41" s="301"/>
      <c r="E41" s="270"/>
      <c r="F41" s="274" t="s">
        <v>283</v>
      </c>
      <c r="G41" s="277">
        <v>0</v>
      </c>
      <c r="H41" s="277">
        <v>0</v>
      </c>
      <c r="I41" s="277">
        <v>0</v>
      </c>
      <c r="J41" s="277">
        <v>0</v>
      </c>
      <c r="K41" s="277"/>
      <c r="L41" s="270"/>
      <c r="R41" s="270"/>
    </row>
    <row r="42" spans="1:21">
      <c r="A42" s="274"/>
      <c r="B42" s="274"/>
      <c r="C42" s="274"/>
      <c r="D42" s="277"/>
      <c r="E42" s="270"/>
      <c r="F42" s="274" t="s">
        <v>285</v>
      </c>
      <c r="G42" s="277">
        <v>0</v>
      </c>
      <c r="H42" s="277">
        <v>0</v>
      </c>
      <c r="I42" s="277">
        <v>0</v>
      </c>
      <c r="J42" s="277">
        <v>0</v>
      </c>
      <c r="K42" s="277"/>
      <c r="L42" s="270"/>
      <c r="R42" s="270"/>
    </row>
    <row r="43" spans="1:21" ht="15">
      <c r="A43" s="298"/>
      <c r="B43" s="299"/>
      <c r="C43" s="299"/>
      <c r="D43" s="274"/>
      <c r="E43" s="270"/>
      <c r="F43" s="272" t="s">
        <v>286</v>
      </c>
      <c r="G43" s="303">
        <v>0</v>
      </c>
      <c r="H43" s="303">
        <v>0</v>
      </c>
      <c r="I43" s="303">
        <v>0</v>
      </c>
      <c r="J43" s="303">
        <v>0</v>
      </c>
      <c r="K43" s="303"/>
      <c r="L43" s="270"/>
      <c r="R43" s="270"/>
    </row>
    <row r="44" spans="1:21">
      <c r="A44" s="274"/>
      <c r="B44" s="274"/>
      <c r="C44" s="291"/>
      <c r="D44" s="299"/>
      <c r="E44" s="270"/>
      <c r="F44" s="279" t="s">
        <v>154</v>
      </c>
      <c r="G44" s="292">
        <f t="shared" ref="G44:I44" si="5">IFERROR(G43/G$3,"")</f>
        <v>0</v>
      </c>
      <c r="H44" s="292">
        <f t="shared" si="5"/>
        <v>0</v>
      </c>
      <c r="I44" s="292">
        <f t="shared" si="5"/>
        <v>0</v>
      </c>
      <c r="J44" s="292">
        <f>IFERROR(J43/J$3,"")</f>
        <v>0</v>
      </c>
      <c r="K44" s="292"/>
      <c r="L44" s="270"/>
      <c r="R44" s="270"/>
    </row>
    <row r="45" spans="1:21">
      <c r="A45" s="274"/>
      <c r="B45" s="274"/>
      <c r="C45" s="291"/>
      <c r="D45" s="304"/>
      <c r="E45" s="270"/>
      <c r="F45" s="274"/>
      <c r="G45" s="274"/>
      <c r="H45" s="274"/>
      <c r="I45" s="274"/>
      <c r="J45" s="274"/>
      <c r="K45" s="274"/>
      <c r="L45" s="270"/>
      <c r="R45" s="270"/>
    </row>
    <row r="46" spans="1:21" ht="15" customHeight="1">
      <c r="D46" s="304"/>
      <c r="E46" s="270"/>
      <c r="F46" s="274" t="s">
        <v>287</v>
      </c>
      <c r="G46" s="305">
        <v>0</v>
      </c>
      <c r="H46" s="305">
        <v>0</v>
      </c>
      <c r="I46" s="305">
        <v>0</v>
      </c>
      <c r="J46" s="305">
        <v>0</v>
      </c>
      <c r="K46" s="305"/>
      <c r="L46" s="270"/>
      <c r="R46" s="270"/>
    </row>
    <row r="47" spans="1:21" ht="15" customHeight="1">
      <c r="A47" s="270"/>
      <c r="B47" s="270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</row>
    <row r="48" spans="1:21">
      <c r="A48" s="274"/>
      <c r="B48" s="274"/>
      <c r="C48" s="291"/>
      <c r="M48" s="274"/>
      <c r="N48" s="274"/>
      <c r="O48" s="274"/>
      <c r="P48" s="274"/>
      <c r="Q48" s="274"/>
      <c r="R48" s="274"/>
      <c r="S48" s="274"/>
      <c r="T48" s="274"/>
      <c r="U48" s="274"/>
    </row>
    <row r="49" spans="1:21">
      <c r="A49" s="274"/>
      <c r="B49" s="274"/>
      <c r="C49" s="291"/>
      <c r="D49" s="306"/>
      <c r="F49" s="274"/>
      <c r="G49" s="274"/>
      <c r="H49" s="274"/>
      <c r="I49" s="274"/>
      <c r="J49" s="274"/>
      <c r="K49" s="274"/>
      <c r="M49" s="274"/>
      <c r="N49" s="274"/>
      <c r="O49" s="274"/>
      <c r="P49" s="274"/>
      <c r="Q49" s="274"/>
      <c r="R49" s="274"/>
      <c r="S49" s="274"/>
      <c r="T49" s="274"/>
      <c r="U49" s="274"/>
    </row>
    <row r="50" spans="1:21">
      <c r="A50" s="274"/>
      <c r="B50" s="274"/>
      <c r="C50" s="274"/>
      <c r="D50" s="306"/>
      <c r="F50" s="274"/>
      <c r="G50" s="274"/>
      <c r="H50" s="274"/>
      <c r="I50" s="274"/>
      <c r="J50" s="274"/>
      <c r="K50" s="274"/>
      <c r="M50" s="274"/>
      <c r="N50" s="274"/>
      <c r="O50" s="274"/>
      <c r="P50" s="274"/>
      <c r="Q50" s="274"/>
      <c r="R50" s="274"/>
      <c r="S50" s="274"/>
      <c r="T50" s="274"/>
      <c r="U50" s="274"/>
    </row>
    <row r="51" spans="1:21" ht="15">
      <c r="A51" s="298"/>
      <c r="B51" s="299"/>
      <c r="C51" s="299"/>
      <c r="D51" s="274"/>
      <c r="F51" s="274"/>
      <c r="G51" s="274"/>
      <c r="H51" s="274"/>
      <c r="I51" s="274"/>
      <c r="J51" s="274"/>
      <c r="K51" s="274"/>
      <c r="M51" s="274"/>
      <c r="N51" s="274"/>
      <c r="O51" s="274"/>
      <c r="P51" s="274"/>
      <c r="Q51" s="274"/>
      <c r="R51" s="274"/>
      <c r="S51" s="274"/>
      <c r="T51" s="274"/>
      <c r="U51" s="274"/>
    </row>
    <row r="52" spans="1:21" ht="15">
      <c r="A52" s="274"/>
      <c r="B52" s="273"/>
      <c r="C52" s="273"/>
      <c r="D52" s="299"/>
      <c r="F52" s="274"/>
      <c r="G52" s="274"/>
      <c r="H52" s="274"/>
      <c r="I52" s="274"/>
      <c r="J52" s="274"/>
      <c r="K52" s="274"/>
      <c r="M52" s="274"/>
      <c r="N52" s="274"/>
      <c r="O52" s="274"/>
      <c r="P52" s="274"/>
      <c r="Q52" s="274"/>
      <c r="R52" s="274"/>
      <c r="S52" s="274"/>
      <c r="T52" s="274"/>
      <c r="U52" s="274"/>
    </row>
    <row r="53" spans="1:21" ht="15">
      <c r="A53" s="272"/>
      <c r="B53" s="274"/>
      <c r="C53" s="274"/>
      <c r="D53" s="273"/>
      <c r="F53" s="274"/>
      <c r="G53" s="274"/>
      <c r="H53" s="274"/>
      <c r="I53" s="274"/>
      <c r="J53" s="274"/>
      <c r="K53" s="274"/>
      <c r="M53" s="274"/>
      <c r="N53" s="274"/>
      <c r="O53" s="274"/>
      <c r="P53" s="274"/>
      <c r="Q53" s="274"/>
      <c r="R53" s="274"/>
      <c r="S53" s="274"/>
      <c r="T53" s="274"/>
      <c r="U53" s="274"/>
    </row>
    <row r="54" spans="1:21">
      <c r="A54" s="274"/>
      <c r="B54" s="301"/>
      <c r="C54" s="174"/>
      <c r="D54" s="274"/>
      <c r="F54" s="274"/>
      <c r="G54" s="274"/>
      <c r="H54" s="274"/>
      <c r="I54" s="274"/>
      <c r="J54" s="274"/>
      <c r="K54" s="274"/>
      <c r="M54" s="274"/>
      <c r="N54" s="274"/>
      <c r="O54" s="274"/>
      <c r="P54" s="274"/>
      <c r="Q54" s="274"/>
      <c r="R54" s="274"/>
      <c r="S54" s="274"/>
      <c r="T54" s="274"/>
      <c r="U54" s="274"/>
    </row>
    <row r="55" spans="1:21">
      <c r="A55" s="274"/>
      <c r="B55" s="301"/>
      <c r="C55" s="306"/>
      <c r="D55" s="174"/>
      <c r="F55" s="274"/>
      <c r="G55" s="274"/>
      <c r="H55" s="274"/>
      <c r="I55" s="274"/>
      <c r="J55" s="274"/>
      <c r="K55" s="274"/>
      <c r="L55" s="299"/>
      <c r="M55" s="274"/>
      <c r="N55" s="274"/>
      <c r="O55" s="274"/>
      <c r="P55" s="274"/>
      <c r="Q55" s="274"/>
      <c r="R55" s="274"/>
      <c r="S55" s="274"/>
      <c r="T55" s="274"/>
      <c r="U55" s="274"/>
    </row>
    <row r="56" spans="1:21" ht="15">
      <c r="A56" s="272"/>
      <c r="B56" s="306"/>
      <c r="C56" s="306"/>
      <c r="D56" s="306"/>
      <c r="F56" s="274"/>
      <c r="G56" s="274"/>
      <c r="H56" s="274"/>
      <c r="I56" s="274"/>
      <c r="J56" s="274"/>
      <c r="K56" s="274"/>
      <c r="M56" s="274"/>
      <c r="N56" s="274"/>
      <c r="O56" s="274"/>
      <c r="P56" s="274"/>
      <c r="Q56" s="274"/>
      <c r="R56" s="274"/>
      <c r="S56" s="274"/>
      <c r="T56" s="274"/>
      <c r="U56" s="274"/>
    </row>
    <row r="57" spans="1:21">
      <c r="A57" s="274"/>
      <c r="B57" s="306"/>
      <c r="C57" s="306"/>
      <c r="D57" s="306"/>
      <c r="F57" s="274"/>
      <c r="G57" s="274"/>
      <c r="H57" s="274"/>
      <c r="I57" s="274"/>
      <c r="J57" s="274"/>
      <c r="K57" s="274"/>
      <c r="M57" s="274"/>
      <c r="N57" s="274"/>
      <c r="O57" s="274"/>
      <c r="P57" s="274"/>
      <c r="Q57" s="274"/>
      <c r="R57" s="274"/>
      <c r="S57" s="274"/>
      <c r="T57" s="274"/>
      <c r="U57" s="274"/>
    </row>
    <row r="58" spans="1:21">
      <c r="A58" s="274"/>
      <c r="B58" s="306"/>
      <c r="C58" s="306"/>
      <c r="D58" s="306"/>
      <c r="F58" s="274"/>
      <c r="G58" s="274"/>
      <c r="H58" s="274"/>
      <c r="I58" s="274"/>
      <c r="J58" s="274"/>
      <c r="K58" s="274"/>
      <c r="M58" s="274"/>
      <c r="N58" s="274"/>
      <c r="O58" s="274"/>
      <c r="P58" s="274"/>
      <c r="Q58" s="274"/>
      <c r="R58" s="274"/>
      <c r="S58" s="274"/>
      <c r="T58" s="274"/>
      <c r="U58" s="274"/>
    </row>
    <row r="59" spans="1:21">
      <c r="A59" s="274"/>
      <c r="B59" s="306"/>
      <c r="C59" s="306"/>
      <c r="D59" s="306"/>
      <c r="F59" s="274"/>
      <c r="G59" s="274"/>
      <c r="H59" s="274"/>
      <c r="I59" s="274"/>
      <c r="J59" s="274"/>
      <c r="K59" s="274"/>
      <c r="M59" s="274"/>
      <c r="N59" s="274"/>
      <c r="O59" s="274"/>
      <c r="P59" s="274"/>
      <c r="Q59" s="274"/>
      <c r="R59" s="274"/>
      <c r="S59" s="274"/>
      <c r="T59" s="274"/>
      <c r="U59" s="274"/>
    </row>
    <row r="60" spans="1:21">
      <c r="A60" s="274"/>
      <c r="B60" s="274"/>
      <c r="C60" s="274"/>
      <c r="D60" s="306"/>
      <c r="F60" s="274"/>
      <c r="G60" s="274"/>
      <c r="H60" s="274"/>
      <c r="I60" s="274"/>
      <c r="J60" s="274"/>
      <c r="K60" s="274"/>
      <c r="M60" s="274"/>
      <c r="N60" s="274"/>
      <c r="O60" s="274"/>
      <c r="P60" s="274"/>
      <c r="Q60" s="274"/>
      <c r="R60" s="274"/>
      <c r="S60" s="274"/>
      <c r="T60" s="274"/>
      <c r="U60" s="274"/>
    </row>
    <row r="61" spans="1:21">
      <c r="A61" s="274"/>
      <c r="B61" s="274"/>
      <c r="C61" s="274"/>
      <c r="D61" s="274"/>
      <c r="F61" s="274"/>
      <c r="G61" s="274"/>
      <c r="H61" s="274"/>
      <c r="I61" s="274"/>
      <c r="J61" s="274"/>
      <c r="K61" s="274"/>
      <c r="M61" s="274"/>
      <c r="N61" s="274"/>
      <c r="O61" s="274"/>
      <c r="P61" s="274"/>
      <c r="Q61" s="274"/>
      <c r="R61" s="274"/>
      <c r="S61" s="274"/>
      <c r="T61" s="274"/>
      <c r="U61" s="274"/>
    </row>
    <row r="62" spans="1:21">
      <c r="A62" s="274"/>
      <c r="B62" s="274"/>
      <c r="C62" s="274"/>
      <c r="D62" s="274"/>
      <c r="F62" s="274"/>
      <c r="G62" s="274"/>
      <c r="H62" s="274"/>
      <c r="I62" s="274"/>
      <c r="J62" s="274"/>
      <c r="K62" s="274"/>
      <c r="M62" s="274"/>
      <c r="N62" s="274"/>
      <c r="O62" s="274"/>
      <c r="P62" s="274"/>
      <c r="Q62" s="274"/>
      <c r="R62" s="274"/>
      <c r="S62" s="274"/>
      <c r="T62" s="274"/>
      <c r="U62" s="274"/>
    </row>
    <row r="63" spans="1:21">
      <c r="A63" s="274"/>
      <c r="B63" s="274"/>
      <c r="C63" s="274"/>
      <c r="D63" s="274"/>
      <c r="F63" s="274"/>
      <c r="G63" s="274"/>
      <c r="H63" s="274"/>
      <c r="I63" s="274"/>
      <c r="J63" s="274"/>
      <c r="K63" s="274"/>
      <c r="M63" s="274"/>
      <c r="N63" s="274"/>
      <c r="O63" s="274"/>
      <c r="P63" s="274"/>
      <c r="Q63" s="274"/>
      <c r="R63" s="274"/>
      <c r="S63" s="274"/>
      <c r="T63" s="274"/>
      <c r="U63" s="274"/>
    </row>
    <row r="64" spans="1:21">
      <c r="D64" s="274"/>
      <c r="F64" s="274"/>
      <c r="G64" s="274"/>
      <c r="H64" s="274"/>
      <c r="I64" s="274"/>
      <c r="J64" s="274"/>
      <c r="K64" s="274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U64"/>
  <sheetViews>
    <sheetView zoomScale="70" zoomScaleNormal="70" zoomScalePageLayoutView="70" workbookViewId="0">
      <selection activeCell="L47" sqref="L47"/>
    </sheetView>
  </sheetViews>
  <sheetFormatPr defaultColWidth="10.42578125" defaultRowHeight="14.25"/>
  <cols>
    <col min="1" max="1" width="33.85546875" style="271" customWidth="1"/>
    <col min="2" max="2" width="15.42578125" style="271" customWidth="1"/>
    <col min="3" max="3" width="16.42578125" style="271" customWidth="1"/>
    <col min="4" max="4" width="20" style="271" bestFit="1" customWidth="1"/>
    <col min="5" max="5" width="3" style="274" customWidth="1"/>
    <col min="6" max="6" width="35.85546875" style="271" bestFit="1" customWidth="1"/>
    <col min="7" max="7" width="16.42578125" style="271" customWidth="1"/>
    <col min="8" max="11" width="14.7109375" style="271" bestFit="1" customWidth="1"/>
    <col min="12" max="12" width="3" style="274" customWidth="1"/>
    <col min="13" max="13" width="36.42578125" style="271" customWidth="1"/>
    <col min="14" max="14" width="20.42578125" style="271" customWidth="1"/>
    <col min="15" max="15" width="18.85546875" style="271" customWidth="1"/>
    <col min="16" max="16" width="23" style="271" customWidth="1"/>
    <col min="17" max="17" width="16.42578125" style="271" bestFit="1" customWidth="1"/>
    <col min="18" max="18" width="3" style="271" customWidth="1"/>
    <col min="19" max="16384" width="10.42578125" style="271"/>
  </cols>
  <sheetData>
    <row r="1" spans="1:18" ht="15">
      <c r="A1" s="312" t="s">
        <v>219</v>
      </c>
      <c r="B1" s="313"/>
      <c r="C1" s="313"/>
      <c r="D1" s="313"/>
      <c r="E1" s="270"/>
      <c r="F1" s="312" t="s">
        <v>220</v>
      </c>
      <c r="G1" s="313"/>
      <c r="H1" s="313"/>
      <c r="I1" s="313"/>
      <c r="J1" s="313"/>
      <c r="K1" s="313"/>
      <c r="L1" s="270"/>
      <c r="M1" s="312" t="s">
        <v>221</v>
      </c>
      <c r="N1" s="313"/>
      <c r="O1" s="313"/>
      <c r="P1" s="313"/>
      <c r="Q1" s="313"/>
      <c r="R1" s="270"/>
    </row>
    <row r="2" spans="1:18" ht="15">
      <c r="A2" s="272" t="s">
        <v>222</v>
      </c>
      <c r="B2" s="272"/>
      <c r="C2" s="272"/>
      <c r="D2" s="273" t="s">
        <v>306</v>
      </c>
      <c r="E2" s="270"/>
      <c r="F2" s="274"/>
      <c r="G2" s="273">
        <v>2010</v>
      </c>
      <c r="H2" s="273">
        <v>2011</v>
      </c>
      <c r="I2" s="273">
        <v>2012</v>
      </c>
      <c r="J2" s="273">
        <v>2013</v>
      </c>
      <c r="K2" s="273" t="s">
        <v>179</v>
      </c>
      <c r="L2" s="270"/>
      <c r="N2" s="273">
        <v>2010</v>
      </c>
      <c r="O2" s="273">
        <v>2011</v>
      </c>
      <c r="P2" s="273">
        <v>2012</v>
      </c>
      <c r="Q2" s="273">
        <v>2013</v>
      </c>
      <c r="R2" s="270"/>
    </row>
    <row r="3" spans="1:18" ht="15">
      <c r="A3" s="274" t="s">
        <v>204</v>
      </c>
      <c r="B3" s="274"/>
      <c r="C3" s="274"/>
      <c r="D3" s="275">
        <v>489</v>
      </c>
      <c r="E3" s="270"/>
      <c r="F3" s="272" t="s">
        <v>224</v>
      </c>
      <c r="G3" s="276"/>
      <c r="H3" s="276">
        <v>131441</v>
      </c>
      <c r="I3" s="276">
        <v>124036</v>
      </c>
      <c r="J3" s="276">
        <v>37263</v>
      </c>
      <c r="K3" s="276"/>
      <c r="L3" s="270"/>
      <c r="M3" s="274" t="s">
        <v>155</v>
      </c>
      <c r="N3" s="277"/>
      <c r="O3" s="278"/>
      <c r="P3" s="278">
        <v>204</v>
      </c>
      <c r="Q3" s="278">
        <v>798</v>
      </c>
      <c r="R3" s="270"/>
    </row>
    <row r="4" spans="1:18">
      <c r="A4" s="274" t="s">
        <v>225</v>
      </c>
      <c r="B4" s="274"/>
      <c r="C4" s="274"/>
      <c r="D4" s="275" t="s">
        <v>307</v>
      </c>
      <c r="E4" s="270"/>
      <c r="F4" s="274" t="s">
        <v>177</v>
      </c>
      <c r="G4" s="277"/>
      <c r="H4" s="277">
        <v>105051</v>
      </c>
      <c r="I4" s="277">
        <v>100160</v>
      </c>
      <c r="J4" s="277">
        <v>32582</v>
      </c>
      <c r="K4" s="277"/>
      <c r="L4" s="270"/>
      <c r="M4" s="279" t="s">
        <v>227</v>
      </c>
      <c r="N4" s="335" t="e">
        <f>N3/G3</f>
        <v>#DIV/0!</v>
      </c>
      <c r="O4" s="335">
        <f>O3/H3</f>
        <v>0</v>
      </c>
      <c r="P4" s="335">
        <f>P3/I3</f>
        <v>1.6446838014769905E-3</v>
      </c>
      <c r="Q4" s="335">
        <f>Q3/J3</f>
        <v>2.1415344980275339E-2</v>
      </c>
      <c r="R4" s="270"/>
    </row>
    <row r="5" spans="1:18" ht="15">
      <c r="A5" s="274" t="s">
        <v>228</v>
      </c>
      <c r="B5" s="274"/>
      <c r="C5" s="274"/>
      <c r="D5" s="281">
        <v>41639</v>
      </c>
      <c r="E5" s="270"/>
      <c r="F5" s="272" t="s">
        <v>63</v>
      </c>
      <c r="G5" s="276">
        <f t="shared" ref="G5:I5" si="0">G3-G4</f>
        <v>0</v>
      </c>
      <c r="H5" s="276">
        <f t="shared" si="0"/>
        <v>26390</v>
      </c>
      <c r="I5" s="276">
        <f t="shared" si="0"/>
        <v>23876</v>
      </c>
      <c r="J5" s="276">
        <f>J3-J4</f>
        <v>4681</v>
      </c>
      <c r="K5" s="276"/>
      <c r="L5" s="270"/>
      <c r="M5" s="274" t="s">
        <v>150</v>
      </c>
      <c r="N5" s="278"/>
      <c r="O5" s="278"/>
      <c r="P5" s="278">
        <v>563</v>
      </c>
      <c r="Q5" s="278">
        <v>1518</v>
      </c>
      <c r="R5" s="270"/>
    </row>
    <row r="6" spans="1:18">
      <c r="A6" s="274" t="s">
        <v>229</v>
      </c>
      <c r="B6" s="274"/>
      <c r="C6" s="274"/>
      <c r="D6" s="275"/>
      <c r="E6" s="270"/>
      <c r="F6" s="274" t="s">
        <v>231</v>
      </c>
      <c r="G6" s="277"/>
      <c r="H6" s="277">
        <v>9916</v>
      </c>
      <c r="I6" s="277">
        <v>10653</v>
      </c>
      <c r="J6" s="277">
        <v>4447</v>
      </c>
      <c r="K6" s="277"/>
      <c r="L6" s="270"/>
      <c r="M6" s="279" t="s">
        <v>227</v>
      </c>
      <c r="N6" s="335" t="e">
        <f>N5/G3</f>
        <v>#DIV/0!</v>
      </c>
      <c r="O6" s="335">
        <f>O5/H3</f>
        <v>0</v>
      </c>
      <c r="P6" s="335">
        <f>P5/I3</f>
        <v>4.5390048050565962E-3</v>
      </c>
      <c r="Q6" s="335">
        <f>Q5/J3</f>
        <v>4.0737460751952337E-2</v>
      </c>
      <c r="R6" s="270"/>
    </row>
    <row r="7" spans="1:18">
      <c r="A7" s="274" t="s">
        <v>232</v>
      </c>
      <c r="B7" s="274"/>
      <c r="C7" s="274"/>
      <c r="D7" s="275"/>
      <c r="E7" s="270"/>
      <c r="F7" s="274" t="s">
        <v>233</v>
      </c>
      <c r="G7" s="277"/>
      <c r="H7" s="277">
        <v>1711</v>
      </c>
      <c r="I7" s="277">
        <f>523-288</f>
        <v>235</v>
      </c>
      <c r="J7" s="277">
        <f>10648</f>
        <v>10648</v>
      </c>
      <c r="K7" s="277"/>
      <c r="L7" s="270"/>
      <c r="M7" s="274"/>
      <c r="N7" s="274"/>
      <c r="O7" s="274"/>
      <c r="P7" s="274"/>
      <c r="Q7" s="274"/>
      <c r="R7" s="270"/>
    </row>
    <row r="8" spans="1:18">
      <c r="A8" s="274" t="s">
        <v>234</v>
      </c>
      <c r="B8" s="274"/>
      <c r="C8" s="274"/>
      <c r="D8" s="400">
        <f>'Dongfeng Regression'!F19</f>
        <v>1.4527721440555608</v>
      </c>
      <c r="E8" s="270"/>
      <c r="F8" s="274" t="s">
        <v>235</v>
      </c>
      <c r="G8" s="277"/>
      <c r="H8" s="277"/>
      <c r="I8" s="277"/>
      <c r="J8" s="277"/>
      <c r="K8" s="277"/>
      <c r="L8" s="270"/>
      <c r="M8" s="270"/>
      <c r="N8" s="270"/>
      <c r="O8" s="270"/>
      <c r="P8" s="270"/>
      <c r="Q8" s="270"/>
      <c r="R8" s="270"/>
    </row>
    <row r="9" spans="1:18" ht="15">
      <c r="A9" s="274" t="s">
        <v>24</v>
      </c>
      <c r="B9" s="274"/>
      <c r="C9" s="274"/>
      <c r="D9" s="282">
        <v>0.25</v>
      </c>
      <c r="E9" s="270"/>
      <c r="F9" s="272" t="s">
        <v>195</v>
      </c>
      <c r="G9" s="276">
        <f>G5-G6-G7</f>
        <v>0</v>
      </c>
      <c r="H9" s="276">
        <f>H5-H6-H7</f>
        <v>14763</v>
      </c>
      <c r="I9" s="276">
        <f>I5-I6-I7</f>
        <v>12988</v>
      </c>
      <c r="J9" s="276">
        <f>J5-J6+J7</f>
        <v>10882</v>
      </c>
      <c r="K9" s="276"/>
      <c r="L9" s="270"/>
      <c r="M9" s="312" t="s">
        <v>236</v>
      </c>
      <c r="N9" s="313"/>
      <c r="O9" s="313"/>
      <c r="P9" s="313"/>
      <c r="Q9" s="313"/>
      <c r="R9" s="270"/>
    </row>
    <row r="10" spans="1:18" ht="15">
      <c r="A10" s="270"/>
      <c r="B10" s="270"/>
      <c r="C10" s="270"/>
      <c r="D10" s="270"/>
      <c r="E10" s="270"/>
      <c r="F10" s="272" t="s">
        <v>235</v>
      </c>
      <c r="G10" s="276"/>
      <c r="H10" s="276">
        <v>402</v>
      </c>
      <c r="I10" s="276">
        <v>288</v>
      </c>
      <c r="J10" s="276">
        <v>170</v>
      </c>
      <c r="K10" s="276"/>
      <c r="L10" s="270"/>
      <c r="M10" s="274"/>
      <c r="N10" s="274"/>
      <c r="O10" s="274"/>
      <c r="P10" s="273">
        <v>2012</v>
      </c>
      <c r="Q10" s="273">
        <v>2013</v>
      </c>
      <c r="R10" s="270"/>
    </row>
    <row r="11" spans="1:18" ht="15">
      <c r="A11" s="312" t="s">
        <v>238</v>
      </c>
      <c r="B11" s="313"/>
      <c r="C11" s="313"/>
      <c r="D11" s="313"/>
      <c r="E11" s="270"/>
      <c r="F11" s="274" t="s">
        <v>237</v>
      </c>
      <c r="G11" s="277"/>
      <c r="H11" s="277"/>
      <c r="I11" s="277"/>
      <c r="J11" s="277"/>
      <c r="K11" s="277"/>
      <c r="L11" s="270"/>
      <c r="M11" s="274" t="s">
        <v>239</v>
      </c>
      <c r="N11" s="274"/>
      <c r="O11" s="274"/>
      <c r="P11" s="277">
        <v>32101</v>
      </c>
      <c r="Q11" s="277">
        <v>21739</v>
      </c>
      <c r="R11" s="270"/>
    </row>
    <row r="12" spans="1:18">
      <c r="A12" s="274" t="s">
        <v>240</v>
      </c>
      <c r="B12" s="283">
        <v>41912</v>
      </c>
      <c r="C12" s="284"/>
      <c r="D12" s="285">
        <v>12.14</v>
      </c>
      <c r="E12" s="270"/>
      <c r="F12" s="274" t="s">
        <v>59</v>
      </c>
      <c r="G12" s="277">
        <v>0</v>
      </c>
      <c r="H12" s="277">
        <v>3401</v>
      </c>
      <c r="I12" s="277">
        <v>2919</v>
      </c>
      <c r="J12" s="277">
        <v>109</v>
      </c>
      <c r="K12" s="277"/>
      <c r="L12" s="270"/>
      <c r="M12" s="274" t="s">
        <v>242</v>
      </c>
      <c r="N12" s="274"/>
      <c r="O12" s="274"/>
      <c r="P12" s="277">
        <v>20554</v>
      </c>
      <c r="Q12" s="277">
        <v>14738</v>
      </c>
      <c r="R12" s="270"/>
    </row>
    <row r="13" spans="1:18">
      <c r="A13" s="279" t="s">
        <v>243</v>
      </c>
      <c r="B13" s="274"/>
      <c r="C13" s="286"/>
      <c r="D13" s="287"/>
      <c r="E13" s="270"/>
      <c r="F13" s="274" t="s">
        <v>241</v>
      </c>
      <c r="G13" s="277">
        <v>0</v>
      </c>
      <c r="H13" s="277">
        <v>0</v>
      </c>
      <c r="I13" s="277">
        <v>0</v>
      </c>
      <c r="J13" s="277">
        <v>0</v>
      </c>
      <c r="K13" s="277"/>
      <c r="L13" s="270"/>
      <c r="M13" s="274" t="s">
        <v>105</v>
      </c>
      <c r="N13" s="274"/>
      <c r="O13" s="274"/>
      <c r="P13" s="277">
        <v>11386</v>
      </c>
      <c r="Q13" s="277">
        <v>4245</v>
      </c>
      <c r="R13" s="270"/>
    </row>
    <row r="14" spans="1:18">
      <c r="A14" s="274" t="s">
        <v>245</v>
      </c>
      <c r="B14" s="274"/>
      <c r="C14" s="284"/>
      <c r="D14" s="285"/>
      <c r="E14" s="270"/>
      <c r="F14" s="274" t="s">
        <v>244</v>
      </c>
      <c r="G14" s="277">
        <v>0</v>
      </c>
      <c r="H14" s="277">
        <v>0</v>
      </c>
      <c r="I14" s="277">
        <v>0</v>
      </c>
      <c r="J14" s="277">
        <v>0</v>
      </c>
      <c r="K14" s="277"/>
      <c r="L14" s="270"/>
      <c r="M14" s="274" t="s">
        <v>246</v>
      </c>
      <c r="N14" s="274"/>
      <c r="O14" s="274"/>
      <c r="P14" s="277">
        <v>10350</v>
      </c>
      <c r="Q14" s="277">
        <v>16783</v>
      </c>
      <c r="R14" s="270"/>
    </row>
    <row r="15" spans="1:18" ht="15">
      <c r="A15" s="274" t="s">
        <v>247</v>
      </c>
      <c r="B15" s="274"/>
      <c r="C15" s="284"/>
      <c r="D15" s="285"/>
      <c r="E15" s="270"/>
      <c r="F15" s="272" t="s">
        <v>55</v>
      </c>
      <c r="G15" s="276"/>
      <c r="H15" s="276">
        <f>H9-H12-H10</f>
        <v>10960</v>
      </c>
      <c r="I15" s="276">
        <f>I9-I12-I10</f>
        <v>9781</v>
      </c>
      <c r="J15" s="276">
        <f>J9-J12-J10</f>
        <v>10603</v>
      </c>
      <c r="K15" s="276"/>
      <c r="L15" s="270"/>
      <c r="M15" s="272" t="s">
        <v>248</v>
      </c>
      <c r="N15" s="272"/>
      <c r="O15" s="272"/>
      <c r="P15" s="276">
        <f>SUM(P11:P14)</f>
        <v>74391</v>
      </c>
      <c r="Q15" s="276">
        <f>SUM(Q11:Q14)</f>
        <v>57505</v>
      </c>
      <c r="R15" s="270"/>
    </row>
    <row r="16" spans="1:18" ht="15">
      <c r="A16" s="274" t="s">
        <v>249</v>
      </c>
      <c r="B16" s="274"/>
      <c r="C16" s="284"/>
      <c r="D16" s="285">
        <v>1.2219</v>
      </c>
      <c r="E16" s="270"/>
      <c r="F16" s="272"/>
      <c r="G16" s="274"/>
      <c r="H16" s="274"/>
      <c r="I16" s="274"/>
      <c r="J16" s="274"/>
      <c r="K16" s="274"/>
      <c r="L16" s="270"/>
      <c r="M16" s="274"/>
      <c r="N16" s="274"/>
      <c r="O16" s="274"/>
      <c r="P16" s="277"/>
      <c r="Q16" s="276"/>
      <c r="R16" s="270"/>
    </row>
    <row r="17" spans="1:18">
      <c r="A17" s="274"/>
      <c r="B17" s="274"/>
      <c r="C17" s="275"/>
      <c r="D17" s="275"/>
      <c r="E17" s="270"/>
      <c r="F17" s="274" t="s">
        <v>250</v>
      </c>
      <c r="G17" s="277">
        <v>0</v>
      </c>
      <c r="H17" s="277">
        <v>0</v>
      </c>
      <c r="I17" s="277">
        <v>0</v>
      </c>
      <c r="J17" s="277">
        <v>0</v>
      </c>
      <c r="K17" s="277"/>
      <c r="L17" s="270"/>
      <c r="M17" s="274" t="s">
        <v>252</v>
      </c>
      <c r="N17" s="274"/>
      <c r="O17" s="274"/>
      <c r="P17" s="277">
        <v>25823</v>
      </c>
      <c r="Q17" s="277">
        <v>9418</v>
      </c>
      <c r="R17" s="270"/>
    </row>
    <row r="18" spans="1:18">
      <c r="A18" s="274" t="s">
        <v>253</v>
      </c>
      <c r="B18" s="274"/>
      <c r="C18" s="274"/>
      <c r="D18" s="288">
        <f>8616120000/1000000</f>
        <v>8616.1200000000008</v>
      </c>
      <c r="E18" s="270"/>
      <c r="F18" s="274" t="s">
        <v>251</v>
      </c>
      <c r="G18" s="277">
        <v>0</v>
      </c>
      <c r="H18" s="277">
        <v>0</v>
      </c>
      <c r="I18" s="277">
        <v>0</v>
      </c>
      <c r="J18" s="277">
        <v>0</v>
      </c>
      <c r="K18" s="277"/>
      <c r="L18" s="270"/>
      <c r="M18" s="274" t="s">
        <v>255</v>
      </c>
      <c r="N18" s="274"/>
      <c r="O18" s="274"/>
      <c r="P18" s="277">
        <v>3602</v>
      </c>
      <c r="Q18" s="277">
        <v>4019</v>
      </c>
      <c r="R18" s="270"/>
    </row>
    <row r="19" spans="1:18" ht="15">
      <c r="A19" s="272" t="s">
        <v>256</v>
      </c>
      <c r="B19" s="274"/>
      <c r="C19" s="289"/>
      <c r="D19" s="290">
        <f>D12*D18</f>
        <v>104599.69680000002</v>
      </c>
      <c r="E19" s="270"/>
      <c r="F19" s="274" t="s">
        <v>254</v>
      </c>
      <c r="G19" s="277">
        <v>0</v>
      </c>
      <c r="H19" s="277">
        <v>0</v>
      </c>
      <c r="I19" s="277">
        <v>0</v>
      </c>
      <c r="J19" s="277">
        <v>0</v>
      </c>
      <c r="K19" s="277"/>
      <c r="L19" s="270"/>
      <c r="M19" s="274" t="s">
        <v>257</v>
      </c>
      <c r="N19" s="274"/>
      <c r="O19" s="274"/>
      <c r="P19" s="277">
        <v>10994</v>
      </c>
      <c r="Q19" s="277">
        <v>45056</v>
      </c>
      <c r="R19" s="270"/>
    </row>
    <row r="20" spans="1:18" ht="15">
      <c r="A20" s="274" t="s">
        <v>258</v>
      </c>
      <c r="B20" s="274"/>
      <c r="C20" s="284"/>
      <c r="D20" s="288">
        <f>Q29</f>
        <v>51964</v>
      </c>
      <c r="E20" s="270"/>
      <c r="F20" s="274"/>
      <c r="G20" s="274"/>
      <c r="H20" s="274"/>
      <c r="I20" s="274"/>
      <c r="J20" s="291"/>
      <c r="K20" s="291"/>
      <c r="L20" s="270"/>
      <c r="M20" s="272" t="s">
        <v>97</v>
      </c>
      <c r="N20" s="272"/>
      <c r="O20" s="272"/>
      <c r="P20" s="276">
        <f>P15+P17+P18+P19</f>
        <v>114810</v>
      </c>
      <c r="Q20" s="276">
        <f>Q16+Q17+Q18+Q19+Q15</f>
        <v>115998</v>
      </c>
      <c r="R20" s="270"/>
    </row>
    <row r="21" spans="1:18">
      <c r="A21" s="274" t="s">
        <v>183</v>
      </c>
      <c r="B21" s="274"/>
      <c r="C21" s="284"/>
      <c r="D21" s="288">
        <v>0</v>
      </c>
      <c r="E21" s="270"/>
      <c r="F21" s="270"/>
      <c r="G21" s="270"/>
      <c r="H21" s="270"/>
      <c r="I21" s="270"/>
      <c r="J21" s="270"/>
      <c r="K21" s="270"/>
      <c r="L21" s="270"/>
      <c r="M21" s="274"/>
      <c r="N21" s="274"/>
      <c r="O21" s="274"/>
      <c r="P21" s="277"/>
      <c r="Q21" s="277"/>
      <c r="R21" s="270"/>
    </row>
    <row r="22" spans="1:18" ht="15">
      <c r="A22" s="274" t="s">
        <v>241</v>
      </c>
      <c r="B22" s="274"/>
      <c r="C22" s="284"/>
      <c r="D22" s="288">
        <v>931</v>
      </c>
      <c r="E22" s="270"/>
      <c r="F22" s="312" t="s">
        <v>259</v>
      </c>
      <c r="G22" s="313"/>
      <c r="H22" s="313"/>
      <c r="I22" s="313"/>
      <c r="J22" s="313"/>
      <c r="K22" s="313"/>
      <c r="L22" s="270"/>
      <c r="M22" s="274" t="s">
        <v>261</v>
      </c>
      <c r="N22" s="274"/>
      <c r="O22" s="274"/>
      <c r="P22" s="277">
        <v>28303</v>
      </c>
      <c r="Q22" s="277">
        <v>25202</v>
      </c>
      <c r="R22" s="270"/>
    </row>
    <row r="23" spans="1:18">
      <c r="A23" s="274" t="s">
        <v>239</v>
      </c>
      <c r="B23" s="274"/>
      <c r="C23" s="284"/>
      <c r="D23" s="288">
        <f>Q11/10</f>
        <v>2173.9</v>
      </c>
      <c r="E23" s="270"/>
      <c r="F23" s="274" t="s">
        <v>260</v>
      </c>
      <c r="G23" s="277">
        <f>G5</f>
        <v>0</v>
      </c>
      <c r="H23" s="277">
        <f>H5</f>
        <v>26390</v>
      </c>
      <c r="I23" s="277">
        <f>I5</f>
        <v>23876</v>
      </c>
      <c r="J23" s="277">
        <f>J5</f>
        <v>4681</v>
      </c>
      <c r="K23" s="277"/>
      <c r="L23" s="270"/>
      <c r="M23" s="274" t="s">
        <v>263</v>
      </c>
      <c r="N23" s="274"/>
      <c r="O23" s="274"/>
      <c r="P23" s="277">
        <v>15553</v>
      </c>
      <c r="Q23" s="277">
        <v>9548</v>
      </c>
      <c r="R23" s="270"/>
    </row>
    <row r="24" spans="1:18" ht="15">
      <c r="A24" s="272" t="s">
        <v>264</v>
      </c>
      <c r="B24" s="274"/>
      <c r="C24" s="289"/>
      <c r="D24" s="290">
        <f>D19+D20+D21+D22-D23</f>
        <v>155320.79680000004</v>
      </c>
      <c r="E24" s="270"/>
      <c r="F24" s="274" t="s">
        <v>262</v>
      </c>
      <c r="G24" s="277">
        <v>0</v>
      </c>
      <c r="H24" s="277">
        <v>0</v>
      </c>
      <c r="I24" s="277">
        <v>0</v>
      </c>
      <c r="J24" s="277">
        <v>0</v>
      </c>
      <c r="K24" s="277"/>
      <c r="L24" s="270"/>
      <c r="M24" s="274" t="s">
        <v>266</v>
      </c>
      <c r="N24" s="274"/>
      <c r="O24" s="274"/>
      <c r="P24" s="277">
        <v>11208</v>
      </c>
      <c r="Q24" s="277">
        <v>13939</v>
      </c>
      <c r="R24" s="270"/>
    </row>
    <row r="25" spans="1:18" ht="15">
      <c r="A25" s="270"/>
      <c r="B25" s="270"/>
      <c r="C25" s="270"/>
      <c r="D25" s="270"/>
      <c r="E25" s="270"/>
      <c r="F25" s="272" t="s">
        <v>265</v>
      </c>
      <c r="G25" s="276">
        <v>0</v>
      </c>
      <c r="H25" s="276">
        <v>0</v>
      </c>
      <c r="I25" s="276">
        <v>0</v>
      </c>
      <c r="J25" s="276">
        <v>0</v>
      </c>
      <c r="K25" s="276"/>
      <c r="L25" s="270"/>
      <c r="M25" s="272" t="s">
        <v>94</v>
      </c>
      <c r="N25" s="272"/>
      <c r="O25" s="272"/>
      <c r="P25" s="276">
        <f>SUM(P22:P24)</f>
        <v>55064</v>
      </c>
      <c r="Q25" s="276">
        <f>SUM(Q22:Q24)</f>
        <v>48689</v>
      </c>
      <c r="R25" s="270"/>
    </row>
    <row r="26" spans="1:18" ht="15">
      <c r="A26" s="312" t="s">
        <v>267</v>
      </c>
      <c r="B26" s="313"/>
      <c r="C26" s="313"/>
      <c r="D26" s="313"/>
      <c r="E26" s="270"/>
      <c r="F26" s="279" t="s">
        <v>154</v>
      </c>
      <c r="G26" s="336" t="str">
        <f t="shared" ref="G26:I26" si="1">IFERROR(G25/G$3,"")</f>
        <v/>
      </c>
      <c r="H26" s="336">
        <f t="shared" si="1"/>
        <v>0</v>
      </c>
      <c r="I26" s="336">
        <f t="shared" si="1"/>
        <v>0</v>
      </c>
      <c r="J26" s="336">
        <f>IFERROR(J25/J$3,"")</f>
        <v>0</v>
      </c>
      <c r="K26" s="336"/>
      <c r="L26" s="270"/>
      <c r="M26" s="274"/>
      <c r="N26" s="274"/>
      <c r="O26" s="274"/>
      <c r="P26" s="277"/>
      <c r="Q26" s="277"/>
      <c r="R26" s="270"/>
    </row>
    <row r="27" spans="1:18" ht="15">
      <c r="A27" s="272"/>
      <c r="B27" s="273"/>
      <c r="D27" s="273">
        <v>2013</v>
      </c>
      <c r="E27" s="270"/>
      <c r="F27" s="274"/>
      <c r="G27" s="277"/>
      <c r="H27" s="277"/>
      <c r="I27" s="277"/>
      <c r="J27" s="277"/>
      <c r="K27" s="277"/>
      <c r="L27" s="270"/>
      <c r="M27" s="274" t="s">
        <v>258</v>
      </c>
      <c r="N27" s="274"/>
      <c r="O27" s="274"/>
      <c r="P27" s="277">
        <v>2113</v>
      </c>
      <c r="Q27" s="277">
        <v>3275</v>
      </c>
      <c r="R27" s="270"/>
    </row>
    <row r="28" spans="1:18">
      <c r="E28" s="270"/>
      <c r="F28" s="274" t="s">
        <v>268</v>
      </c>
      <c r="G28" s="277">
        <f>G9</f>
        <v>0</v>
      </c>
      <c r="H28" s="277">
        <f>H9</f>
        <v>14763</v>
      </c>
      <c r="I28" s="277">
        <f>I9</f>
        <v>12988</v>
      </c>
      <c r="J28" s="277">
        <f>J9</f>
        <v>10882</v>
      </c>
      <c r="K28" s="277"/>
      <c r="L28" s="270"/>
      <c r="M28" s="274" t="s">
        <v>269</v>
      </c>
      <c r="N28" s="274"/>
      <c r="O28" s="274"/>
      <c r="P28" s="277"/>
      <c r="Q28" s="277"/>
      <c r="R28" s="270"/>
    </row>
    <row r="29" spans="1:18" ht="15">
      <c r="A29" s="272" t="s">
        <v>270</v>
      </c>
      <c r="B29" s="274"/>
      <c r="D29" s="293">
        <f>D24/J3</f>
        <v>4.1682311354426655</v>
      </c>
      <c r="E29" s="270"/>
      <c r="F29" s="274" t="s">
        <v>262</v>
      </c>
      <c r="G29" s="277">
        <v>0</v>
      </c>
      <c r="H29" s="277">
        <v>0</v>
      </c>
      <c r="I29" s="277">
        <v>0</v>
      </c>
      <c r="J29" s="277">
        <v>0</v>
      </c>
      <c r="K29" s="277"/>
      <c r="L29" s="270"/>
      <c r="M29" s="272" t="s">
        <v>88</v>
      </c>
      <c r="N29" s="272"/>
      <c r="O29" s="272"/>
      <c r="P29" s="276">
        <f>P25+P27+P28</f>
        <v>57177</v>
      </c>
      <c r="Q29" s="276">
        <f>Q25+Q27+Q28</f>
        <v>51964</v>
      </c>
      <c r="R29" s="270"/>
    </row>
    <row r="30" spans="1:18">
      <c r="A30" s="274"/>
      <c r="B30" s="274"/>
      <c r="D30" s="294"/>
      <c r="E30" s="270"/>
      <c r="F30" s="274" t="s">
        <v>271</v>
      </c>
      <c r="G30" s="277">
        <v>0</v>
      </c>
      <c r="H30" s="277">
        <v>0</v>
      </c>
      <c r="I30" s="277">
        <v>0</v>
      </c>
      <c r="J30" s="277">
        <v>0</v>
      </c>
      <c r="K30" s="277"/>
      <c r="L30" s="270"/>
      <c r="M30" s="274"/>
      <c r="N30" s="274"/>
      <c r="O30" s="274"/>
      <c r="P30" s="277"/>
      <c r="Q30" s="277"/>
      <c r="R30" s="270"/>
    </row>
    <row r="31" spans="1:18" ht="15">
      <c r="A31" s="272" t="s">
        <v>273</v>
      </c>
      <c r="B31" s="274"/>
      <c r="D31" s="293">
        <f>D24/(J9+Q3)</f>
        <v>13.298013424657539</v>
      </c>
      <c r="E31" s="270"/>
      <c r="F31" s="272" t="s">
        <v>272</v>
      </c>
      <c r="G31" s="276">
        <v>0</v>
      </c>
      <c r="H31" s="276">
        <v>0</v>
      </c>
      <c r="I31" s="276">
        <v>0</v>
      </c>
      <c r="J31" s="276">
        <v>0</v>
      </c>
      <c r="K31" s="276"/>
      <c r="L31" s="270"/>
      <c r="M31" s="274" t="s">
        <v>241</v>
      </c>
      <c r="N31" s="274"/>
      <c r="O31" s="274"/>
      <c r="P31" s="277">
        <v>3715</v>
      </c>
      <c r="Q31" s="277">
        <v>899</v>
      </c>
      <c r="R31" s="270"/>
    </row>
    <row r="32" spans="1:18">
      <c r="A32" s="274"/>
      <c r="B32" s="274"/>
      <c r="D32" s="295"/>
      <c r="E32" s="270"/>
      <c r="F32" s="279" t="s">
        <v>154</v>
      </c>
      <c r="G32" s="336" t="str">
        <f t="shared" ref="G32:I32" si="2">IFERROR(G31/G$3,"")</f>
        <v/>
      </c>
      <c r="H32" s="336">
        <f t="shared" si="2"/>
        <v>0</v>
      </c>
      <c r="I32" s="336">
        <f t="shared" si="2"/>
        <v>0</v>
      </c>
      <c r="J32" s="336">
        <f>IFERROR(J31/J$3,"")</f>
        <v>0</v>
      </c>
      <c r="K32" s="336"/>
      <c r="L32" s="270"/>
      <c r="M32" s="274" t="s">
        <v>183</v>
      </c>
      <c r="N32" s="274"/>
      <c r="O32" s="274"/>
      <c r="P32" s="277"/>
      <c r="Q32" s="277"/>
      <c r="R32" s="270"/>
    </row>
    <row r="33" spans="1:21" ht="15">
      <c r="A33" s="272" t="s">
        <v>274</v>
      </c>
      <c r="B33" s="274"/>
      <c r="D33" s="293">
        <f>D24/J9</f>
        <v>14.273184782209157</v>
      </c>
      <c r="E33" s="270"/>
      <c r="F33" s="274"/>
      <c r="G33" s="277"/>
      <c r="H33" s="277"/>
      <c r="I33" s="277"/>
      <c r="J33" s="277"/>
      <c r="K33" s="277"/>
      <c r="L33" s="270"/>
      <c r="M33" s="274" t="s">
        <v>275</v>
      </c>
      <c r="N33" s="274"/>
      <c r="O33" s="274"/>
      <c r="P33" s="277">
        <v>53918</v>
      </c>
      <c r="Q33" s="277">
        <v>63135</v>
      </c>
      <c r="R33" s="270"/>
    </row>
    <row r="34" spans="1:21" ht="15">
      <c r="A34" s="274"/>
      <c r="B34" s="274"/>
      <c r="D34" s="295"/>
      <c r="E34" s="270"/>
      <c r="F34" s="274" t="s">
        <v>151</v>
      </c>
      <c r="G34" s="277">
        <v>0</v>
      </c>
      <c r="H34" s="277">
        <v>0</v>
      </c>
      <c r="I34" s="277">
        <v>0</v>
      </c>
      <c r="J34" s="277">
        <v>0</v>
      </c>
      <c r="K34" s="277"/>
      <c r="L34" s="270"/>
      <c r="M34" s="296" t="s">
        <v>277</v>
      </c>
      <c r="N34" s="296"/>
      <c r="O34" s="296"/>
      <c r="P34" s="297">
        <f>P29+P33+P32+P31</f>
        <v>114810</v>
      </c>
      <c r="Q34" s="297">
        <f>Q29+Q33+Q32+Q31</f>
        <v>115998</v>
      </c>
      <c r="R34" s="270"/>
    </row>
    <row r="35" spans="1:21" ht="15">
      <c r="A35" s="272" t="s">
        <v>278</v>
      </c>
      <c r="B35" s="274"/>
      <c r="D35" s="293">
        <f>D24/J15</f>
        <v>14.648759483165145</v>
      </c>
      <c r="E35" s="270"/>
      <c r="F35" s="272" t="s">
        <v>276</v>
      </c>
      <c r="G35" s="276">
        <v>0</v>
      </c>
      <c r="H35" s="276">
        <v>0</v>
      </c>
      <c r="I35" s="276">
        <v>0</v>
      </c>
      <c r="J35" s="276">
        <v>0</v>
      </c>
      <c r="K35" s="276"/>
      <c r="L35" s="270"/>
      <c r="M35" s="279" t="s">
        <v>279</v>
      </c>
      <c r="N35" s="274"/>
      <c r="O35" s="274"/>
      <c r="P35" s="277">
        <f>P20-P34</f>
        <v>0</v>
      </c>
      <c r="Q35" s="277">
        <f>Q20-Q34</f>
        <v>0</v>
      </c>
      <c r="R35" s="270"/>
    </row>
    <row r="36" spans="1:21">
      <c r="A36" s="274"/>
      <c r="B36" s="274"/>
      <c r="C36" s="274"/>
      <c r="D36" s="275"/>
      <c r="E36" s="270"/>
      <c r="F36" s="279" t="s">
        <v>154</v>
      </c>
      <c r="G36" s="336" t="str">
        <f t="shared" ref="G36:I36" si="3">IFERROR(G35/G$3,"")</f>
        <v/>
      </c>
      <c r="H36" s="336">
        <f t="shared" si="3"/>
        <v>0</v>
      </c>
      <c r="I36" s="336">
        <f t="shared" si="3"/>
        <v>0</v>
      </c>
      <c r="J36" s="336">
        <f>IFERROR(J35/J$3,"")</f>
        <v>0</v>
      </c>
      <c r="K36" s="336"/>
      <c r="L36" s="270"/>
      <c r="P36" s="274"/>
      <c r="R36" s="270"/>
    </row>
    <row r="37" spans="1:21" ht="15" customHeight="1">
      <c r="A37" s="298"/>
      <c r="B37" s="299"/>
      <c r="C37" s="299"/>
      <c r="D37" s="299"/>
      <c r="E37" s="270"/>
      <c r="F37" s="274"/>
      <c r="G37" s="274"/>
      <c r="H37" s="274"/>
      <c r="I37" s="274"/>
      <c r="J37" s="274"/>
      <c r="K37" s="274"/>
      <c r="L37" s="270"/>
      <c r="M37" s="270"/>
      <c r="N37" s="270"/>
      <c r="O37" s="270"/>
      <c r="P37" s="270"/>
      <c r="Q37" s="270"/>
      <c r="R37" s="270"/>
    </row>
    <row r="38" spans="1:21" ht="15">
      <c r="A38" s="274"/>
      <c r="B38" s="274"/>
      <c r="C38" s="300"/>
      <c r="D38" s="277"/>
      <c r="E38" s="270"/>
      <c r="F38" s="274" t="s">
        <v>280</v>
      </c>
      <c r="G38" s="277">
        <v>0</v>
      </c>
      <c r="H38" s="277">
        <v>0</v>
      </c>
      <c r="I38" s="277">
        <v>0</v>
      </c>
      <c r="J38" s="277">
        <v>0</v>
      </c>
      <c r="K38" s="277"/>
      <c r="L38" s="270"/>
      <c r="M38" s="312" t="s">
        <v>281</v>
      </c>
      <c r="N38" s="313"/>
      <c r="O38" s="313"/>
      <c r="P38" s="313"/>
      <c r="Q38" s="313"/>
      <c r="R38" s="270"/>
    </row>
    <row r="39" spans="1:21">
      <c r="A39" s="274"/>
      <c r="B39" s="274"/>
      <c r="C39" s="337"/>
      <c r="D39" s="301"/>
      <c r="E39" s="270"/>
      <c r="F39" s="274" t="s">
        <v>262</v>
      </c>
      <c r="G39" s="277">
        <v>0</v>
      </c>
      <c r="H39" s="277">
        <v>0</v>
      </c>
      <c r="I39" s="277">
        <v>0</v>
      </c>
      <c r="J39" s="277">
        <v>0</v>
      </c>
      <c r="K39" s="277"/>
      <c r="L39" s="270"/>
      <c r="M39" s="274" t="s">
        <v>282</v>
      </c>
      <c r="N39" s="302">
        <f>D20+Q33-SUM(Q17:Q19)</f>
        <v>56606</v>
      </c>
      <c r="O39" s="274"/>
      <c r="P39" s="274"/>
      <c r="Q39" s="274"/>
      <c r="R39" s="270"/>
    </row>
    <row r="40" spans="1:21">
      <c r="A40" s="274"/>
      <c r="B40" s="274"/>
      <c r="C40" s="337"/>
      <c r="D40" s="301"/>
      <c r="E40" s="270"/>
      <c r="F40" s="274" t="s">
        <v>271</v>
      </c>
      <c r="G40" s="277">
        <v>0</v>
      </c>
      <c r="H40" s="277">
        <v>0</v>
      </c>
      <c r="I40" s="277">
        <v>0</v>
      </c>
      <c r="J40" s="277">
        <v>0</v>
      </c>
      <c r="K40" s="277"/>
      <c r="L40" s="270"/>
      <c r="M40" s="274" t="s">
        <v>284</v>
      </c>
      <c r="N40" s="277">
        <f>((Q27-Q11)+(P27-P11))/2</f>
        <v>-24226</v>
      </c>
      <c r="O40" s="274"/>
      <c r="P40" s="274"/>
      <c r="Q40" s="274"/>
      <c r="R40" s="270"/>
    </row>
    <row r="41" spans="1:21">
      <c r="A41" s="274"/>
      <c r="B41" s="274"/>
      <c r="C41" s="277"/>
      <c r="D41" s="277"/>
      <c r="E41" s="270"/>
      <c r="F41" s="274" t="s">
        <v>283</v>
      </c>
      <c r="G41" s="277">
        <v>0</v>
      </c>
      <c r="H41" s="277">
        <v>0</v>
      </c>
      <c r="I41" s="277">
        <v>0</v>
      </c>
      <c r="J41" s="277">
        <v>0</v>
      </c>
      <c r="K41" s="277"/>
      <c r="L41" s="270"/>
      <c r="R41" s="270"/>
    </row>
    <row r="42" spans="1:21">
      <c r="A42" s="274"/>
      <c r="B42" s="274"/>
      <c r="C42" s="274"/>
      <c r="D42" s="274"/>
      <c r="E42" s="270"/>
      <c r="F42" s="274" t="s">
        <v>285</v>
      </c>
      <c r="G42" s="277">
        <v>0</v>
      </c>
      <c r="H42" s="277">
        <v>0</v>
      </c>
      <c r="I42" s="277">
        <v>0</v>
      </c>
      <c r="J42" s="277">
        <v>0</v>
      </c>
      <c r="K42" s="277"/>
      <c r="L42" s="270"/>
      <c r="R42" s="270"/>
    </row>
    <row r="43" spans="1:21" ht="15">
      <c r="A43" s="298"/>
      <c r="B43" s="299"/>
      <c r="C43" s="299"/>
      <c r="D43" s="299"/>
      <c r="E43" s="270"/>
      <c r="F43" s="272" t="s">
        <v>286</v>
      </c>
      <c r="G43" s="303">
        <v>0</v>
      </c>
      <c r="H43" s="303">
        <v>0</v>
      </c>
      <c r="I43" s="303">
        <v>0</v>
      </c>
      <c r="J43" s="303">
        <v>0</v>
      </c>
      <c r="K43" s="303"/>
      <c r="L43" s="270"/>
      <c r="R43" s="270"/>
    </row>
    <row r="44" spans="1:21">
      <c r="A44" s="274"/>
      <c r="B44" s="274"/>
      <c r="C44" s="291"/>
      <c r="D44" s="304"/>
      <c r="E44" s="270"/>
      <c r="F44" s="279" t="s">
        <v>154</v>
      </c>
      <c r="G44" s="336" t="str">
        <f t="shared" ref="G44:I44" si="4">IFERROR(G43/G$3,"")</f>
        <v/>
      </c>
      <c r="H44" s="336">
        <f t="shared" si="4"/>
        <v>0</v>
      </c>
      <c r="I44" s="336">
        <f t="shared" si="4"/>
        <v>0</v>
      </c>
      <c r="J44" s="336">
        <f>IFERROR(J43/J$3,"")</f>
        <v>0</v>
      </c>
      <c r="K44" s="336"/>
      <c r="L44" s="270"/>
      <c r="R44" s="270"/>
    </row>
    <row r="45" spans="1:21">
      <c r="A45" s="274"/>
      <c r="B45" s="274"/>
      <c r="C45" s="291"/>
      <c r="D45" s="304"/>
      <c r="E45" s="270"/>
      <c r="F45" s="274"/>
      <c r="G45" s="274"/>
      <c r="H45" s="274"/>
      <c r="I45" s="274"/>
      <c r="J45" s="274"/>
      <c r="K45" s="274"/>
      <c r="L45" s="270"/>
      <c r="R45" s="270"/>
    </row>
    <row r="46" spans="1:21" ht="15" customHeight="1">
      <c r="A46" s="274"/>
      <c r="B46" s="274"/>
      <c r="C46" s="291"/>
      <c r="D46" s="304"/>
      <c r="E46" s="270"/>
      <c r="F46" s="274" t="s">
        <v>287</v>
      </c>
      <c r="G46" s="338">
        <v>0</v>
      </c>
      <c r="H46" s="338">
        <v>0</v>
      </c>
      <c r="I46" s="338">
        <v>0</v>
      </c>
      <c r="J46" s="338">
        <v>0</v>
      </c>
      <c r="K46" s="338"/>
      <c r="L46" s="270"/>
      <c r="R46" s="270"/>
    </row>
    <row r="47" spans="1:21" ht="15" customHeight="1">
      <c r="A47" s="270"/>
      <c r="B47" s="270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</row>
    <row r="48" spans="1:21">
      <c r="R48" s="274"/>
      <c r="S48" s="274"/>
      <c r="T48" s="274"/>
      <c r="U48" s="274"/>
    </row>
    <row r="49" spans="1:21">
      <c r="A49" s="274"/>
      <c r="B49" s="274"/>
      <c r="C49" s="291"/>
      <c r="D49" s="306"/>
      <c r="F49" s="274"/>
      <c r="G49" s="274"/>
      <c r="H49" s="274"/>
      <c r="I49" s="274"/>
      <c r="J49" s="274"/>
      <c r="K49" s="274"/>
      <c r="M49" s="274"/>
      <c r="N49" s="274"/>
      <c r="O49" s="274"/>
      <c r="P49" s="274"/>
      <c r="Q49" s="274"/>
      <c r="R49" s="274"/>
      <c r="S49" s="274"/>
      <c r="T49" s="274"/>
      <c r="U49" s="274"/>
    </row>
    <row r="50" spans="1:21">
      <c r="A50" s="274"/>
      <c r="B50" s="274"/>
      <c r="C50" s="291"/>
      <c r="D50" s="306"/>
      <c r="F50" s="274"/>
      <c r="G50" s="274"/>
      <c r="H50" s="274"/>
      <c r="I50" s="274"/>
      <c r="J50" s="274"/>
      <c r="K50" s="274"/>
      <c r="M50" s="274"/>
      <c r="N50" s="274"/>
      <c r="O50" s="274"/>
      <c r="P50" s="274"/>
      <c r="Q50" s="274"/>
      <c r="R50" s="274"/>
      <c r="S50" s="274"/>
      <c r="T50" s="274"/>
      <c r="U50" s="274"/>
    </row>
    <row r="51" spans="1:21">
      <c r="A51" s="274"/>
      <c r="B51" s="274"/>
      <c r="C51" s="274"/>
      <c r="D51" s="274"/>
      <c r="F51" s="274"/>
      <c r="G51" s="274"/>
      <c r="H51" s="274"/>
      <c r="I51" s="274"/>
      <c r="J51" s="274"/>
      <c r="K51" s="274"/>
      <c r="M51" s="274"/>
      <c r="N51" s="274"/>
      <c r="O51" s="274"/>
      <c r="P51" s="274"/>
      <c r="Q51" s="274"/>
      <c r="R51" s="274"/>
      <c r="S51" s="274"/>
      <c r="T51" s="274"/>
      <c r="U51" s="274"/>
    </row>
    <row r="52" spans="1:21" ht="15">
      <c r="A52" s="298"/>
      <c r="B52" s="299"/>
      <c r="C52" s="299"/>
      <c r="D52" s="299"/>
      <c r="F52" s="274"/>
      <c r="G52" s="274"/>
      <c r="H52" s="274"/>
      <c r="I52" s="274"/>
      <c r="J52" s="274"/>
      <c r="K52" s="274"/>
      <c r="M52" s="274"/>
      <c r="N52" s="274"/>
      <c r="O52" s="274"/>
      <c r="P52" s="274"/>
      <c r="Q52" s="274"/>
      <c r="R52" s="274"/>
      <c r="S52" s="274"/>
      <c r="T52" s="274"/>
      <c r="U52" s="274"/>
    </row>
    <row r="53" spans="1:21" ht="15">
      <c r="A53" s="274"/>
      <c r="B53" s="273"/>
      <c r="C53" s="273"/>
      <c r="D53" s="273"/>
      <c r="F53" s="274"/>
      <c r="G53" s="274"/>
      <c r="H53" s="274"/>
      <c r="I53" s="274"/>
      <c r="J53" s="274"/>
      <c r="K53" s="274"/>
      <c r="M53" s="274"/>
      <c r="N53" s="274"/>
      <c r="O53" s="274"/>
      <c r="P53" s="274"/>
      <c r="Q53" s="274"/>
      <c r="R53" s="274"/>
      <c r="S53" s="274"/>
      <c r="T53" s="274"/>
      <c r="U53" s="274"/>
    </row>
    <row r="54" spans="1:21" ht="15">
      <c r="A54" s="272"/>
      <c r="B54" s="274"/>
      <c r="C54" s="274"/>
      <c r="D54" s="274"/>
      <c r="F54" s="274"/>
      <c r="G54" s="274"/>
      <c r="H54" s="274"/>
      <c r="I54" s="274"/>
      <c r="J54" s="274"/>
      <c r="K54" s="274"/>
      <c r="M54" s="274"/>
      <c r="N54" s="274"/>
      <c r="O54" s="274"/>
      <c r="P54" s="274"/>
      <c r="Q54" s="274"/>
      <c r="R54" s="274"/>
      <c r="S54" s="274"/>
      <c r="T54" s="274"/>
      <c r="U54" s="274"/>
    </row>
    <row r="55" spans="1:21">
      <c r="A55" s="274"/>
      <c r="B55" s="301"/>
      <c r="C55" s="337"/>
      <c r="D55" s="337"/>
      <c r="F55" s="274"/>
      <c r="G55" s="274"/>
      <c r="H55" s="274"/>
      <c r="I55" s="274"/>
      <c r="J55" s="274"/>
      <c r="K55" s="274"/>
      <c r="L55" s="299"/>
      <c r="M55" s="274"/>
      <c r="N55" s="274"/>
      <c r="O55" s="274"/>
      <c r="P55" s="274"/>
      <c r="Q55" s="274"/>
      <c r="R55" s="274"/>
      <c r="S55" s="274"/>
      <c r="T55" s="274"/>
      <c r="U55" s="274"/>
    </row>
    <row r="56" spans="1:21">
      <c r="A56" s="274"/>
      <c r="B56" s="301"/>
      <c r="C56" s="306"/>
      <c r="D56" s="306"/>
      <c r="F56" s="274"/>
      <c r="G56" s="274"/>
      <c r="H56" s="274"/>
      <c r="I56" s="274"/>
      <c r="J56" s="274"/>
      <c r="K56" s="274"/>
      <c r="M56" s="274"/>
      <c r="N56" s="274"/>
      <c r="O56" s="274"/>
      <c r="P56" s="274"/>
      <c r="Q56" s="274"/>
      <c r="R56" s="274"/>
      <c r="S56" s="274"/>
      <c r="T56" s="274"/>
      <c r="U56" s="274"/>
    </row>
    <row r="57" spans="1:21" ht="15">
      <c r="A57" s="272"/>
      <c r="B57" s="306"/>
      <c r="C57" s="306"/>
      <c r="D57" s="306"/>
      <c r="F57" s="274"/>
      <c r="G57" s="274"/>
      <c r="H57" s="274"/>
      <c r="I57" s="274"/>
      <c r="J57" s="274"/>
      <c r="K57" s="274"/>
      <c r="M57" s="274"/>
      <c r="N57" s="274"/>
      <c r="O57" s="274"/>
      <c r="P57" s="274"/>
      <c r="Q57" s="274"/>
      <c r="R57" s="274"/>
      <c r="S57" s="274"/>
      <c r="T57" s="274"/>
      <c r="U57" s="274"/>
    </row>
    <row r="58" spans="1:21">
      <c r="A58" s="274"/>
      <c r="B58" s="306"/>
      <c r="C58" s="306"/>
      <c r="D58" s="306"/>
      <c r="F58" s="274"/>
      <c r="G58" s="274"/>
      <c r="H58" s="274"/>
      <c r="I58" s="274"/>
      <c r="J58" s="274"/>
      <c r="K58" s="274"/>
      <c r="M58" s="274"/>
      <c r="N58" s="274"/>
      <c r="O58" s="274"/>
      <c r="P58" s="274"/>
      <c r="Q58" s="274"/>
      <c r="R58" s="274"/>
      <c r="S58" s="274"/>
      <c r="T58" s="274"/>
      <c r="U58" s="274"/>
    </row>
    <row r="59" spans="1:21">
      <c r="A59" s="274"/>
      <c r="B59" s="306"/>
      <c r="C59" s="306"/>
      <c r="D59" s="306"/>
      <c r="F59" s="274"/>
      <c r="G59" s="274"/>
      <c r="H59" s="274"/>
      <c r="I59" s="274"/>
      <c r="J59" s="274"/>
      <c r="K59" s="274"/>
      <c r="M59" s="274"/>
      <c r="N59" s="274"/>
      <c r="O59" s="274"/>
      <c r="P59" s="274"/>
      <c r="Q59" s="274"/>
      <c r="R59" s="274"/>
      <c r="S59" s="274"/>
      <c r="T59" s="274"/>
      <c r="U59" s="274"/>
    </row>
    <row r="60" spans="1:21">
      <c r="A60" s="274"/>
      <c r="B60" s="306"/>
      <c r="C60" s="306"/>
      <c r="D60" s="306"/>
      <c r="F60" s="274"/>
      <c r="G60" s="274"/>
      <c r="H60" s="274"/>
      <c r="I60" s="274"/>
      <c r="J60" s="274"/>
      <c r="K60" s="274"/>
      <c r="M60" s="274"/>
      <c r="N60" s="274"/>
      <c r="O60" s="274"/>
      <c r="P60" s="274"/>
      <c r="Q60" s="274"/>
      <c r="R60" s="274"/>
      <c r="S60" s="274"/>
      <c r="T60" s="274"/>
      <c r="U60" s="274"/>
    </row>
    <row r="61" spans="1:21">
      <c r="A61" s="274"/>
      <c r="B61" s="274"/>
      <c r="C61" s="274"/>
      <c r="D61" s="274"/>
      <c r="F61" s="274"/>
      <c r="G61" s="274"/>
      <c r="H61" s="274"/>
      <c r="I61" s="274"/>
      <c r="J61" s="274"/>
      <c r="K61" s="274"/>
      <c r="M61" s="274"/>
      <c r="N61" s="274"/>
      <c r="O61" s="274"/>
      <c r="P61" s="274"/>
      <c r="Q61" s="274"/>
      <c r="R61" s="274"/>
      <c r="S61" s="274"/>
      <c r="T61" s="274"/>
      <c r="U61" s="274"/>
    </row>
    <row r="62" spans="1:21">
      <c r="A62" s="274"/>
      <c r="B62" s="274"/>
      <c r="C62" s="274"/>
      <c r="D62" s="274"/>
      <c r="F62" s="274"/>
      <c r="G62" s="274"/>
      <c r="H62" s="274"/>
      <c r="I62" s="274"/>
      <c r="J62" s="274"/>
      <c r="K62" s="274"/>
      <c r="M62" s="274"/>
      <c r="N62" s="274"/>
      <c r="O62" s="274"/>
      <c r="P62" s="274"/>
      <c r="Q62" s="274"/>
      <c r="R62" s="274"/>
      <c r="S62" s="274"/>
      <c r="T62" s="274"/>
      <c r="U62" s="274"/>
    </row>
    <row r="63" spans="1:21">
      <c r="A63" s="274"/>
      <c r="B63" s="274"/>
      <c r="C63" s="274"/>
      <c r="D63" s="274"/>
      <c r="F63" s="274"/>
      <c r="G63" s="274"/>
      <c r="H63" s="274"/>
      <c r="I63" s="274"/>
      <c r="J63" s="274"/>
      <c r="K63" s="274"/>
      <c r="M63" s="274"/>
      <c r="N63" s="274"/>
      <c r="O63" s="274"/>
      <c r="P63" s="274"/>
      <c r="Q63" s="274"/>
      <c r="R63" s="274"/>
      <c r="S63" s="274"/>
      <c r="T63" s="274"/>
      <c r="U63" s="274"/>
    </row>
    <row r="64" spans="1:21">
      <c r="A64" s="274"/>
      <c r="B64" s="274"/>
      <c r="C64" s="274"/>
      <c r="D64" s="274"/>
      <c r="F64" s="274"/>
      <c r="G64" s="274"/>
      <c r="H64" s="274"/>
      <c r="I64" s="274"/>
      <c r="J64" s="274"/>
      <c r="K64" s="274"/>
      <c r="M64" s="274"/>
      <c r="N64" s="274"/>
      <c r="O64" s="274"/>
      <c r="P64" s="274"/>
      <c r="Q64" s="274"/>
    </row>
  </sheetData>
  <pageMargins left="0.7" right="0.7" top="0.75" bottom="0.75" header="0.3" footer="0.3"/>
  <pageSetup paperSize="9" orientation="portrait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M69"/>
  <sheetViews>
    <sheetView workbookViewId="0">
      <selection activeCell="E2" sqref="E2:M19"/>
    </sheetView>
  </sheetViews>
  <sheetFormatPr defaultColWidth="8.85546875" defaultRowHeight="15"/>
  <cols>
    <col min="1" max="1" width="10.140625" bestFit="1" customWidth="1"/>
  </cols>
  <sheetData>
    <row r="1" spans="1:13">
      <c r="A1" t="s">
        <v>123</v>
      </c>
      <c r="B1" t="s">
        <v>406</v>
      </c>
      <c r="C1" t="s">
        <v>397</v>
      </c>
    </row>
    <row r="2" spans="1:13">
      <c r="A2" s="474">
        <f>'Cost of Equity'!A40</f>
        <v>39871</v>
      </c>
      <c r="B2">
        <f>'Cost of Equity'!AZ40</f>
        <v>-3.5875676908458325E-2</v>
      </c>
      <c r="C2">
        <f>'Cost of Equity'!AE40</f>
        <v>4.5535294706619357E-2</v>
      </c>
      <c r="E2" s="473" t="s">
        <v>346</v>
      </c>
      <c r="F2" s="473"/>
      <c r="G2" s="473"/>
      <c r="H2" s="473"/>
      <c r="I2" s="473"/>
      <c r="J2" s="473"/>
      <c r="K2" s="473"/>
      <c r="L2" s="473"/>
      <c r="M2" s="473"/>
    </row>
    <row r="3" spans="1:13" ht="15.75" thickBot="1">
      <c r="A3" s="474">
        <f>'Cost of Equity'!A41</f>
        <v>39903</v>
      </c>
      <c r="B3" s="473">
        <f>'Cost of Equity'!AZ41</f>
        <v>5.7856332220490685E-2</v>
      </c>
      <c r="C3" s="473">
        <f>'Cost of Equity'!AE41</f>
        <v>0.32944441781269285</v>
      </c>
      <c r="E3" s="473"/>
      <c r="F3" s="473"/>
      <c r="G3" s="473"/>
      <c r="H3" s="473"/>
      <c r="I3" s="473"/>
      <c r="J3" s="473"/>
      <c r="K3" s="473"/>
      <c r="L3" s="473"/>
      <c r="M3" s="473"/>
    </row>
    <row r="4" spans="1:13">
      <c r="A4" s="474">
        <f>'Cost of Equity'!A42</f>
        <v>39933</v>
      </c>
      <c r="B4" s="473">
        <f>'Cost of Equity'!AZ42</f>
        <v>0.1337883002616376</v>
      </c>
      <c r="C4" s="473">
        <f>'Cost of Equity'!AE42</f>
        <v>0.37459344944141071</v>
      </c>
      <c r="E4" s="445" t="s">
        <v>347</v>
      </c>
      <c r="F4" s="445"/>
      <c r="G4" s="473"/>
      <c r="H4" s="473"/>
      <c r="I4" s="473"/>
      <c r="J4" s="473"/>
      <c r="K4" s="473"/>
      <c r="L4" s="473"/>
      <c r="M4" s="473"/>
    </row>
    <row r="5" spans="1:13">
      <c r="A5" s="474">
        <f>'Cost of Equity'!A43</f>
        <v>39962</v>
      </c>
      <c r="B5" s="473">
        <f>'Cost of Equity'!AZ43</f>
        <v>0.1575336152864634</v>
      </c>
      <c r="C5" s="473">
        <f>'Cost of Equity'!AE43</f>
        <v>0.25060149537786763</v>
      </c>
      <c r="E5" s="442" t="s">
        <v>348</v>
      </c>
      <c r="F5" s="442">
        <v>0.66155376503827967</v>
      </c>
      <c r="G5" s="473"/>
      <c r="H5" s="473"/>
      <c r="I5" s="473"/>
      <c r="J5" s="473"/>
      <c r="K5" s="473"/>
      <c r="L5" s="473"/>
      <c r="M5" s="473"/>
    </row>
    <row r="6" spans="1:13">
      <c r="A6" s="474">
        <f>'Cost of Equity'!A44</f>
        <v>39993</v>
      </c>
      <c r="B6" s="473">
        <f>'Cost of Equity'!AZ44</f>
        <v>1.1267101028928105E-2</v>
      </c>
      <c r="C6" s="473">
        <f>'Cost of Equity'!AE44</f>
        <v>-0.12975581408666784</v>
      </c>
      <c r="E6" s="442" t="s">
        <v>349</v>
      </c>
      <c r="F6" s="442">
        <v>0.43765338403632331</v>
      </c>
      <c r="G6" s="473"/>
      <c r="H6" s="473"/>
      <c r="I6" s="473"/>
      <c r="J6" s="473"/>
      <c r="K6" s="473"/>
      <c r="L6" s="473"/>
      <c r="M6" s="473"/>
    </row>
    <row r="7" spans="1:13">
      <c r="A7" s="474">
        <f>'Cost of Equity'!A45</f>
        <v>40025</v>
      </c>
      <c r="B7" s="473">
        <f>'Cost of Equity'!AZ45</f>
        <v>0.11270155910895437</v>
      </c>
      <c r="C7" s="473">
        <f>'Cost of Equity'!AE45</f>
        <v>0.2340575920360764</v>
      </c>
      <c r="E7" s="442" t="s">
        <v>350</v>
      </c>
      <c r="F7" s="442">
        <v>0.42913298076414641</v>
      </c>
      <c r="G7" s="473"/>
      <c r="H7" s="473"/>
      <c r="I7" s="473"/>
      <c r="J7" s="473"/>
      <c r="K7" s="473"/>
      <c r="L7" s="473"/>
      <c r="M7" s="473"/>
    </row>
    <row r="8" spans="1:13">
      <c r="A8" s="474">
        <f>'Cost of Equity'!A46</f>
        <v>40056</v>
      </c>
      <c r="B8" s="473">
        <f>'Cost of Equity'!AZ46</f>
        <v>-4.224977555482317E-2</v>
      </c>
      <c r="C8" s="473">
        <f>'Cost of Equity'!AE46</f>
        <v>-3.0187292383325064E-2</v>
      </c>
      <c r="E8" s="442" t="s">
        <v>351</v>
      </c>
      <c r="F8" s="442">
        <v>9.5859984457707201E-2</v>
      </c>
      <c r="G8" s="473"/>
      <c r="H8" s="473"/>
      <c r="I8" s="473"/>
      <c r="J8" s="473"/>
      <c r="K8" s="473"/>
      <c r="L8" s="473"/>
      <c r="M8" s="473"/>
    </row>
    <row r="9" spans="1:13" ht="15.75" thickBot="1">
      <c r="A9" s="474">
        <f>'Cost of Equity'!A47</f>
        <v>40086</v>
      </c>
      <c r="B9" s="473">
        <f>'Cost of Equity'!AZ47</f>
        <v>6.0443410382780831E-2</v>
      </c>
      <c r="C9" s="473">
        <f>'Cost of Equity'!AE47</f>
        <v>2.7406645789833515E-2</v>
      </c>
      <c r="E9" s="443" t="s">
        <v>352</v>
      </c>
      <c r="F9" s="443">
        <v>68</v>
      </c>
      <c r="G9" s="473"/>
      <c r="H9" s="473"/>
      <c r="I9" s="473"/>
      <c r="J9" s="473"/>
      <c r="K9" s="473"/>
      <c r="L9" s="473"/>
      <c r="M9" s="473"/>
    </row>
    <row r="10" spans="1:13">
      <c r="A10" s="474">
        <f>'Cost of Equity'!A48</f>
        <v>40116</v>
      </c>
      <c r="B10" s="473">
        <f>'Cost of Equity'!AZ48</f>
        <v>3.7256491219755175E-2</v>
      </c>
      <c r="C10" s="473">
        <f>'Cost of Equity'!AE48</f>
        <v>0.13278518904791622</v>
      </c>
      <c r="E10" s="473"/>
      <c r="F10" s="473"/>
      <c r="G10" s="473"/>
      <c r="H10" s="473"/>
      <c r="I10" s="473"/>
      <c r="J10" s="473"/>
      <c r="K10" s="473"/>
      <c r="L10" s="473"/>
      <c r="M10" s="473"/>
    </row>
    <row r="11" spans="1:13" ht="15.75" thickBot="1">
      <c r="A11" s="474">
        <f>'Cost of Equity'!A49</f>
        <v>40147</v>
      </c>
      <c r="B11" s="473">
        <f>'Cost of Equity'!AZ49</f>
        <v>3.0500194609411379E-3</v>
      </c>
      <c r="C11" s="473">
        <f>'Cost of Equity'!AE49</f>
        <v>0.234739591077401</v>
      </c>
      <c r="E11" s="473" t="s">
        <v>353</v>
      </c>
      <c r="F11" s="473"/>
      <c r="G11" s="473"/>
      <c r="H11" s="473"/>
      <c r="I11" s="473"/>
      <c r="J11" s="473"/>
      <c r="K11" s="473"/>
      <c r="L11" s="473"/>
      <c r="M11" s="473"/>
    </row>
    <row r="12" spans="1:13">
      <c r="A12" s="474">
        <f>'Cost of Equity'!A50</f>
        <v>40178</v>
      </c>
      <c r="B12" s="473">
        <f>'Cost of Equity'!AZ50</f>
        <v>2.2344176848262958E-3</v>
      </c>
      <c r="C12" s="473">
        <f>'Cost of Equity'!AE50</f>
        <v>-6.2851210563475368E-2</v>
      </c>
      <c r="E12" s="444"/>
      <c r="F12" s="444" t="s">
        <v>354</v>
      </c>
      <c r="G12" s="444" t="s">
        <v>355</v>
      </c>
      <c r="H12" s="444" t="s">
        <v>356</v>
      </c>
      <c r="I12" s="444" t="s">
        <v>357</v>
      </c>
      <c r="J12" s="444" t="s">
        <v>358</v>
      </c>
      <c r="K12" s="473"/>
      <c r="L12" s="473"/>
      <c r="M12" s="473"/>
    </row>
    <row r="13" spans="1:13">
      <c r="A13" s="474">
        <f>'Cost of Equity'!A51</f>
        <v>40207</v>
      </c>
      <c r="B13" s="473">
        <f>'Cost of Equity'!AZ51</f>
        <v>-8.3516893097039205E-2</v>
      </c>
      <c r="C13" s="473">
        <f>'Cost of Equity'!AE51</f>
        <v>-9.388753010016769E-2</v>
      </c>
      <c r="E13" s="442" t="s">
        <v>359</v>
      </c>
      <c r="F13" s="442">
        <v>1</v>
      </c>
      <c r="G13" s="442">
        <v>0.47200309771125026</v>
      </c>
      <c r="H13" s="442">
        <v>0.47200309771125026</v>
      </c>
      <c r="I13" s="442">
        <v>51.365336833934279</v>
      </c>
      <c r="J13" s="442">
        <v>8.1701793182925039E-10</v>
      </c>
      <c r="K13" s="473"/>
      <c r="L13" s="473"/>
      <c r="M13" s="473"/>
    </row>
    <row r="14" spans="1:13">
      <c r="A14" s="474">
        <f>'Cost of Equity'!A52</f>
        <v>40235</v>
      </c>
      <c r="B14" s="473">
        <f>'Cost of Equity'!AZ52</f>
        <v>2.3800069835125483E-2</v>
      </c>
      <c r="C14" s="473">
        <f>'Cost of Equity'!AE52</f>
        <v>0.10033207281883633</v>
      </c>
      <c r="E14" s="442" t="s">
        <v>360</v>
      </c>
      <c r="F14" s="442">
        <v>66</v>
      </c>
      <c r="G14" s="442">
        <v>0.60648301693530315</v>
      </c>
      <c r="H14" s="442">
        <v>9.1891366202318664E-3</v>
      </c>
      <c r="I14" s="442"/>
      <c r="J14" s="442"/>
      <c r="K14" s="473"/>
      <c r="L14" s="473"/>
      <c r="M14" s="473"/>
    </row>
    <row r="15" spans="1:13" ht="15.75" thickBot="1">
      <c r="A15" s="474">
        <f>'Cost of Equity'!A53</f>
        <v>40268</v>
      </c>
      <c r="B15" s="473">
        <f>'Cost of Equity'!AZ53</f>
        <v>3.0042276532564329E-2</v>
      </c>
      <c r="C15" s="473">
        <f>'Cost of Equity'!AE53</f>
        <v>0.11420806769899382</v>
      </c>
      <c r="E15" s="443" t="s">
        <v>81</v>
      </c>
      <c r="F15" s="443">
        <v>67</v>
      </c>
      <c r="G15" s="443">
        <v>1.0784861146465534</v>
      </c>
      <c r="H15" s="443"/>
      <c r="I15" s="443"/>
      <c r="J15" s="443"/>
      <c r="K15" s="473"/>
      <c r="L15" s="473"/>
      <c r="M15" s="473"/>
    </row>
    <row r="16" spans="1:13" ht="15.75" thickBot="1">
      <c r="A16" s="474">
        <f>'Cost of Equity'!A54</f>
        <v>40298</v>
      </c>
      <c r="B16" s="473">
        <f>'Cost of Equity'!AZ54</f>
        <v>-6.2755266285593955E-3</v>
      </c>
      <c r="C16" s="473">
        <f>'Cost of Equity'!AE54</f>
        <v>-0.11063091495524852</v>
      </c>
      <c r="E16" s="473"/>
      <c r="F16" s="473"/>
      <c r="G16" s="473"/>
      <c r="H16" s="473"/>
      <c r="I16" s="473"/>
      <c r="J16" s="473"/>
      <c r="K16" s="473"/>
      <c r="L16" s="473"/>
      <c r="M16" s="473"/>
    </row>
    <row r="17" spans="1:13">
      <c r="A17" s="474">
        <f>'Cost of Equity'!A55</f>
        <v>40329</v>
      </c>
      <c r="B17" s="473">
        <f>'Cost of Equity'!AZ55</f>
        <v>-6.5857756985740645E-2</v>
      </c>
      <c r="C17" s="473">
        <f>'Cost of Equity'!AE55</f>
        <v>-0.16801127655518683</v>
      </c>
      <c r="E17" s="444"/>
      <c r="F17" s="444" t="s">
        <v>361</v>
      </c>
      <c r="G17" s="444" t="s">
        <v>351</v>
      </c>
      <c r="H17" s="444" t="s">
        <v>362</v>
      </c>
      <c r="I17" s="444" t="s">
        <v>363</v>
      </c>
      <c r="J17" s="444" t="s">
        <v>364</v>
      </c>
      <c r="K17" s="444" t="s">
        <v>365</v>
      </c>
      <c r="L17" s="444" t="s">
        <v>366</v>
      </c>
      <c r="M17" s="444" t="s">
        <v>367</v>
      </c>
    </row>
    <row r="18" spans="1:13">
      <c r="A18" s="474">
        <f>'Cost of Equity'!A56</f>
        <v>40359</v>
      </c>
      <c r="B18" s="473">
        <f>'Cost of Equity'!AZ56</f>
        <v>1.8138754868470629E-2</v>
      </c>
      <c r="C18" s="473">
        <f>'Cost of Equity'!AE56</f>
        <v>-3.0662650410166924E-2</v>
      </c>
      <c r="E18" s="442" t="s">
        <v>368</v>
      </c>
      <c r="F18" s="442">
        <v>1.3876193848747616E-2</v>
      </c>
      <c r="G18" s="442">
        <v>1.1735509471174552E-2</v>
      </c>
      <c r="H18" s="442">
        <v>1.1824108602043344</v>
      </c>
      <c r="I18" s="442">
        <v>0.24128503232576196</v>
      </c>
      <c r="J18" s="442">
        <v>-9.5545067996773599E-3</v>
      </c>
      <c r="K18" s="442">
        <v>3.7306894497172588E-2</v>
      </c>
      <c r="L18" s="442">
        <v>-9.5545067996773599E-3</v>
      </c>
      <c r="M18" s="442">
        <v>3.7306894497172588E-2</v>
      </c>
    </row>
    <row r="19" spans="1:13" ht="15.75" thickBot="1">
      <c r="A19" s="474">
        <f>'Cost of Equity'!A57</f>
        <v>40389</v>
      </c>
      <c r="B19" s="473">
        <f>'Cost of Equity'!AZ57</f>
        <v>4.3679890438376071E-2</v>
      </c>
      <c r="C19" s="473">
        <f>'Cost of Equity'!AE57</f>
        <v>0.16580399827992892</v>
      </c>
      <c r="E19" s="443" t="s">
        <v>369</v>
      </c>
      <c r="F19" s="443">
        <v>1.4527721440555608</v>
      </c>
      <c r="G19" s="443">
        <v>0.2027040536521526</v>
      </c>
      <c r="H19" s="443">
        <v>7.1669614784742768</v>
      </c>
      <c r="I19" s="443">
        <v>8.1701793182926797E-10</v>
      </c>
      <c r="J19" s="443">
        <v>1.0480604429562725</v>
      </c>
      <c r="K19" s="443">
        <v>1.857483845154849</v>
      </c>
      <c r="L19" s="443">
        <v>1.0480604429562725</v>
      </c>
      <c r="M19" s="443">
        <v>1.857483845154849</v>
      </c>
    </row>
    <row r="20" spans="1:13">
      <c r="A20" s="474">
        <f>'Cost of Equity'!A58</f>
        <v>40421</v>
      </c>
      <c r="B20" s="473">
        <f>'Cost of Equity'!AZ58</f>
        <v>-2.3837651139705728E-2</v>
      </c>
      <c r="C20" s="473">
        <f>'Cost of Equity'!AE58</f>
        <v>0.10866270605978173</v>
      </c>
    </row>
    <row r="21" spans="1:13">
      <c r="A21" s="474">
        <f>'Cost of Equity'!A59</f>
        <v>40451</v>
      </c>
      <c r="B21" s="473">
        <f>'Cost of Equity'!AZ59</f>
        <v>8.4888498539809551E-2</v>
      </c>
      <c r="C21" s="473">
        <f>'Cost of Equity'!AE59</f>
        <v>0.27328826119463612</v>
      </c>
    </row>
    <row r="22" spans="1:13">
      <c r="A22" s="474">
        <f>'Cost of Equity'!A60</f>
        <v>40480</v>
      </c>
      <c r="B22" s="473">
        <f>'Cost of Equity'!AZ60</f>
        <v>3.2381495116092007E-2</v>
      </c>
      <c r="C22" s="473">
        <f>'Cost of Equity'!AE60</f>
        <v>5.6098189221352221E-2</v>
      </c>
    </row>
    <row r="23" spans="1:13">
      <c r="A23" s="474">
        <f>'Cost of Equity'!A61</f>
        <v>40512</v>
      </c>
      <c r="B23" s="473">
        <f>'Cost of Equity'!AZ61</f>
        <v>-3.9317505705660149E-3</v>
      </c>
      <c r="C23" s="473">
        <f>'Cost of Equity'!AE61</f>
        <v>-0.12790482006732129</v>
      </c>
    </row>
    <row r="24" spans="1:13">
      <c r="A24" s="474">
        <f>'Cost of Equity'!A62</f>
        <v>40542</v>
      </c>
      <c r="B24" s="473">
        <f>'Cost of Equity'!AZ62</f>
        <v>1.092786779428462E-3</v>
      </c>
      <c r="C24" s="473">
        <f>'Cost of Equity'!AE62</f>
        <v>-9.8269366884370046E-2</v>
      </c>
    </row>
    <row r="25" spans="1:13">
      <c r="A25" s="474">
        <f>'Cost of Equity'!A63</f>
        <v>40574</v>
      </c>
      <c r="B25" s="473">
        <f>'Cost of Equity'!AZ63</f>
        <v>1.7622721935939049E-2</v>
      </c>
      <c r="C25" s="473">
        <f>'Cost of Equity'!AE63</f>
        <v>2.6319563033961345E-2</v>
      </c>
    </row>
    <row r="26" spans="1:13">
      <c r="A26" s="474">
        <f>'Cost of Equity'!A64</f>
        <v>40602</v>
      </c>
      <c r="B26" s="473">
        <f>'Cost of Equity'!AZ64</f>
        <v>-4.773265267465578E-3</v>
      </c>
      <c r="C26" s="473">
        <f>'Cost of Equity'!AE64</f>
        <v>-1.9457940907755628E-2</v>
      </c>
    </row>
    <row r="27" spans="1:13">
      <c r="A27" s="474">
        <f>'Cost of Equity'!A65</f>
        <v>40633</v>
      </c>
      <c r="B27" s="473">
        <f>'Cost of Equity'!AZ65</f>
        <v>7.9870094645013365E-3</v>
      </c>
      <c r="C27" s="473">
        <f>'Cost of Equity'!AE65</f>
        <v>-1.9042950012958266E-2</v>
      </c>
    </row>
    <row r="28" spans="1:13">
      <c r="A28" s="474">
        <f>'Cost of Equity'!A66</f>
        <v>40662</v>
      </c>
      <c r="B28" s="473">
        <f>'Cost of Equity'!AZ66</f>
        <v>8.0819221249452157E-3</v>
      </c>
      <c r="C28" s="473">
        <f>'Cost of Equity'!AE66</f>
        <v>-8.8343573717128643E-2</v>
      </c>
    </row>
    <row r="29" spans="1:13">
      <c r="A29" s="474">
        <f>'Cost of Equity'!A67</f>
        <v>40694</v>
      </c>
      <c r="B29" s="473">
        <f>'Cost of Equity'!AZ67</f>
        <v>-1.6475183523128384E-3</v>
      </c>
      <c r="C29" s="473">
        <f>'Cost of Equity'!AE67</f>
        <v>0.13863973773166083</v>
      </c>
    </row>
    <row r="30" spans="1:13">
      <c r="A30" s="474">
        <f>'Cost of Equity'!A68</f>
        <v>40724</v>
      </c>
      <c r="B30" s="473">
        <f>'Cost of Equity'!AZ68</f>
        <v>-5.5929069757263174E-2</v>
      </c>
      <c r="C30" s="473">
        <f>'Cost of Equity'!AE68</f>
        <v>6.7275402472770751E-2</v>
      </c>
    </row>
    <row r="31" spans="1:13">
      <c r="A31" s="474">
        <f>'Cost of Equity'!A69</f>
        <v>40753</v>
      </c>
      <c r="B31" s="473">
        <f>'Cost of Equity'!AZ69</f>
        <v>1.7800875775195381E-3</v>
      </c>
      <c r="C31" s="473">
        <f>'Cost of Equity'!AE69</f>
        <v>4.7610396214611501E-2</v>
      </c>
    </row>
    <row r="32" spans="1:13">
      <c r="A32" s="474">
        <f>'Cost of Equity'!A70</f>
        <v>40786</v>
      </c>
      <c r="B32" s="473">
        <f>'Cost of Equity'!AZ70</f>
        <v>-8.883277863245756E-2</v>
      </c>
      <c r="C32" s="473">
        <f>'Cost of Equity'!AE70</f>
        <v>-0.21634639216988275</v>
      </c>
    </row>
    <row r="33" spans="1:3">
      <c r="A33" s="474">
        <f>'Cost of Equity'!A71</f>
        <v>40816</v>
      </c>
      <c r="B33" s="473">
        <f>'Cost of Equity'!AZ71</f>
        <v>-0.15475588375086177</v>
      </c>
      <c r="C33" s="473">
        <f>'Cost of Equity'!AE71</f>
        <v>-0.14701234087423448</v>
      </c>
    </row>
    <row r="34" spans="1:3">
      <c r="A34" s="474">
        <f>'Cost of Equity'!A72</f>
        <v>40847</v>
      </c>
      <c r="B34" s="473">
        <f>'Cost of Equity'!AZ72</f>
        <v>0.12138528604289807</v>
      </c>
      <c r="C34" s="473">
        <f>'Cost of Equity'!AE72</f>
        <v>0.18625870398092573</v>
      </c>
    </row>
    <row r="35" spans="1:3">
      <c r="A35" s="474">
        <f>'Cost of Equity'!A73</f>
        <v>40877</v>
      </c>
      <c r="B35" s="473">
        <f>'Cost of Equity'!AZ73</f>
        <v>-9.9272928946276581E-2</v>
      </c>
      <c r="C35" s="473">
        <f>'Cost of Equity'!AE73</f>
        <v>-0.15398211530301753</v>
      </c>
    </row>
    <row r="36" spans="1:3">
      <c r="A36" s="474">
        <f>'Cost of Equity'!A74</f>
        <v>40907</v>
      </c>
      <c r="B36" s="473">
        <f>'Cost of Equity'!AZ74</f>
        <v>2.4338025780505271E-2</v>
      </c>
      <c r="C36" s="473">
        <f>'Cost of Equity'!AE74</f>
        <v>0.18472468701207312</v>
      </c>
    </row>
    <row r="37" spans="1:3">
      <c r="A37" s="474">
        <f>'Cost of Equity'!A75</f>
        <v>40939</v>
      </c>
      <c r="B37" s="473">
        <f>'Cost of Equity'!AZ75</f>
        <v>0.10075067377934117</v>
      </c>
      <c r="C37" s="473">
        <f>'Cost of Equity'!AE75</f>
        <v>8.4499616866142727E-2</v>
      </c>
    </row>
    <row r="38" spans="1:3">
      <c r="A38" s="474">
        <f>'Cost of Equity'!A76</f>
        <v>40968</v>
      </c>
      <c r="B38" s="473">
        <f>'Cost of Equity'!AZ76</f>
        <v>6.1225250915987843E-2</v>
      </c>
      <c r="C38" s="473">
        <f>'Cost of Equity'!AE76</f>
        <v>4.8245666529918178E-2</v>
      </c>
    </row>
    <row r="39" spans="1:3">
      <c r="A39" s="474">
        <f>'Cost of Equity'!A77</f>
        <v>40998</v>
      </c>
      <c r="B39" s="473">
        <f>'Cost of Equity'!AZ77</f>
        <v>-5.3361429670950138E-2</v>
      </c>
      <c r="C39" s="473">
        <f>'Cost of Equity'!AE77</f>
        <v>-8.2025463899359774E-2</v>
      </c>
    </row>
    <row r="40" spans="1:3">
      <c r="A40" s="474">
        <f>'Cost of Equity'!A78</f>
        <v>41029</v>
      </c>
      <c r="B40" s="473">
        <f>'Cost of Equity'!AZ78</f>
        <v>2.5766158311845026E-2</v>
      </c>
      <c r="C40" s="473">
        <f>'Cost of Equity'!AE78</f>
        <v>8.728250336241794E-2</v>
      </c>
    </row>
    <row r="41" spans="1:3">
      <c r="A41" s="474">
        <f>'Cost of Equity'!A79</f>
        <v>41060</v>
      </c>
      <c r="B41" s="473">
        <f>'Cost of Equity'!AZ79</f>
        <v>-0.12435117585618623</v>
      </c>
      <c r="C41" s="473">
        <f>'Cost of Equity'!AE79</f>
        <v>-0.14792154477561076</v>
      </c>
    </row>
    <row r="42" spans="1:3">
      <c r="A42" s="474">
        <f>'Cost of Equity'!A80</f>
        <v>41089</v>
      </c>
      <c r="B42" s="473">
        <f>'Cost of Equity'!AZ80</f>
        <v>4.2560479706624861E-2</v>
      </c>
      <c r="C42" s="473">
        <f>'Cost of Equity'!AE80</f>
        <v>-8.9120850896760931E-2</v>
      </c>
    </row>
    <row r="43" spans="1:3">
      <c r="A43" s="474">
        <f>'Cost of Equity'!A81</f>
        <v>41121</v>
      </c>
      <c r="B43" s="473">
        <f>'Cost of Equity'!AZ81</f>
        <v>1.8012914516718066E-2</v>
      </c>
      <c r="C43" s="473">
        <f>'Cost of Equity'!AE81</f>
        <v>-9.5927554999102715E-2</v>
      </c>
    </row>
    <row r="44" spans="1:3">
      <c r="A44" s="474">
        <f>'Cost of Equity'!A82</f>
        <v>41152</v>
      </c>
      <c r="B44" s="473">
        <f>'Cost of Equity'!AZ82</f>
        <v>-1.6100593912416774E-2</v>
      </c>
      <c r="C44" s="473">
        <f>'Cost of Equity'!AE82</f>
        <v>-7.4938059066490342E-2</v>
      </c>
    </row>
    <row r="45" spans="1:3">
      <c r="A45" s="474">
        <f>'Cost of Equity'!A83</f>
        <v>41180</v>
      </c>
      <c r="B45" s="473">
        <f>'Cost of Equity'!AZ83</f>
        <v>6.7272231186820616E-2</v>
      </c>
      <c r="C45" s="473">
        <f>'Cost of Equity'!AE83</f>
        <v>-0.10341761402802591</v>
      </c>
    </row>
    <row r="46" spans="1:3">
      <c r="A46" s="474">
        <f>'Cost of Equity'!A84</f>
        <v>41213</v>
      </c>
      <c r="B46" s="473">
        <f>'Cost of Equity'!AZ84</f>
        <v>3.7635103069800516E-2</v>
      </c>
      <c r="C46" s="473">
        <f>'Cost of Equity'!AE84</f>
        <v>5.8254473281895584E-2</v>
      </c>
    </row>
    <row r="47" spans="1:3">
      <c r="A47" s="474">
        <f>'Cost of Equity'!A85</f>
        <v>41243</v>
      </c>
      <c r="B47" s="473">
        <f>'Cost of Equity'!AZ85</f>
        <v>1.7695309835852348E-2</v>
      </c>
      <c r="C47" s="473">
        <f>'Cost of Equity'!AE85</f>
        <v>0.12726267251319709</v>
      </c>
    </row>
    <row r="48" spans="1:3">
      <c r="A48" s="474">
        <f>'Cost of Equity'!A86</f>
        <v>41271</v>
      </c>
      <c r="B48" s="473">
        <f>'Cost of Equity'!AZ86</f>
        <v>2.7942460241840397E-2</v>
      </c>
      <c r="C48" s="473">
        <f>'Cost of Equity'!AE86</f>
        <v>9.2467164197916812E-2</v>
      </c>
    </row>
    <row r="49" spans="1:3">
      <c r="A49" s="474">
        <f>'Cost of Equity'!A87</f>
        <v>41305</v>
      </c>
      <c r="B49" s="473">
        <f>'Cost of Equity'!AZ87</f>
        <v>4.6154940067492066E-2</v>
      </c>
      <c r="C49" s="473">
        <f>'Cost of Equity'!AE87</f>
        <v>5.7439838465532217E-2</v>
      </c>
    </row>
    <row r="50" spans="1:3">
      <c r="A50" s="474">
        <f>'Cost of Equity'!A88</f>
        <v>41333</v>
      </c>
      <c r="B50" s="473">
        <f>'Cost of Equity'!AZ88</f>
        <v>-3.0445131942660967E-2</v>
      </c>
      <c r="C50" s="473">
        <f>'Cost of Equity'!AE88</f>
        <v>-0.10870727175669619</v>
      </c>
    </row>
    <row r="51" spans="1:3">
      <c r="A51" s="474">
        <f>'Cost of Equity'!A89</f>
        <v>41361</v>
      </c>
      <c r="B51" s="473">
        <f>'Cost of Equity'!AZ89</f>
        <v>-3.190504575614285E-2</v>
      </c>
      <c r="C51" s="473">
        <f>'Cost of Equity'!AE89</f>
        <v>-4.1599730906752855E-2</v>
      </c>
    </row>
    <row r="52" spans="1:3">
      <c r="A52" s="474">
        <f>'Cost of Equity'!A90</f>
        <v>41394</v>
      </c>
      <c r="B52" s="473">
        <f>'Cost of Equity'!AZ90</f>
        <v>1.9323906909491036E-2</v>
      </c>
      <c r="C52" s="473">
        <f>'Cost of Equity'!AE90</f>
        <v>5.8417606897751509E-2</v>
      </c>
    </row>
    <row r="53" spans="1:3">
      <c r="A53" s="474">
        <f>'Cost of Equity'!A91</f>
        <v>41425</v>
      </c>
      <c r="B53" s="473">
        <f>'Cost of Equity'!AZ91</f>
        <v>-1.5383095712966796E-2</v>
      </c>
      <c r="C53" s="473">
        <f>'Cost of Equity'!AE91</f>
        <v>5.7699613398280343E-2</v>
      </c>
    </row>
    <row r="54" spans="1:3">
      <c r="A54" s="474">
        <f>'Cost of Equity'!A92</f>
        <v>41453</v>
      </c>
      <c r="B54" s="473">
        <f>'Cost of Equity'!AZ92</f>
        <v>-7.3699750320545473E-2</v>
      </c>
      <c r="C54" s="473">
        <f>'Cost of Equity'!AE92</f>
        <v>-0.15285461649846299</v>
      </c>
    </row>
    <row r="55" spans="1:3">
      <c r="A55" s="474">
        <f>'Cost of Equity'!A93</f>
        <v>41486</v>
      </c>
      <c r="B55" s="473">
        <f>'Cost of Equity'!AZ93</f>
        <v>5.0529092339736979E-2</v>
      </c>
      <c r="C55" s="473">
        <f>'Cost of Equity'!AE93</f>
        <v>3.7986404156573231E-3</v>
      </c>
    </row>
    <row r="56" spans="1:3">
      <c r="A56" s="474">
        <f>'Cost of Equity'!A94</f>
        <v>41516</v>
      </c>
      <c r="B56" s="473">
        <f>'Cost of Equity'!AZ94</f>
        <v>-7.083400855376224E-3</v>
      </c>
      <c r="C56" s="473">
        <f>'Cost of Equity'!AE94</f>
        <v>3.2438755786773611E-2</v>
      </c>
    </row>
    <row r="57" spans="1:3">
      <c r="A57" s="474">
        <f>'Cost of Equity'!A95</f>
        <v>41547</v>
      </c>
      <c r="B57" s="473">
        <f>'Cost of Equity'!AZ95</f>
        <v>5.0525695352926933E-2</v>
      </c>
      <c r="C57" s="473">
        <f>'Cost of Equity'!AE95</f>
        <v>9.1608426489499087E-2</v>
      </c>
    </row>
    <row r="58" spans="1:3">
      <c r="A58" s="474">
        <f>'Cost of Equity'!A96</f>
        <v>41578</v>
      </c>
      <c r="B58" s="473">
        <f>'Cost of Equity'!AZ96</f>
        <v>1.4944275837180587E-2</v>
      </c>
      <c r="C58" s="473">
        <f>'Cost of Equity'!AE96</f>
        <v>-7.222738129039262E-2</v>
      </c>
    </row>
    <row r="59" spans="1:3">
      <c r="A59" s="474">
        <f>'Cost of Equity'!A97</f>
        <v>41607</v>
      </c>
      <c r="B59" s="473">
        <f>'Cost of Equity'!AZ97</f>
        <v>2.8568497215249365E-2</v>
      </c>
      <c r="C59" s="473">
        <f>'Cost of Equity'!AE97</f>
        <v>0.11737520126885165</v>
      </c>
    </row>
    <row r="60" spans="1:3">
      <c r="A60" s="474">
        <f>'Cost of Equity'!A98</f>
        <v>41638</v>
      </c>
      <c r="B60" s="473">
        <f>'Cost of Equity'!AZ98</f>
        <v>-2.44677352665401E-2</v>
      </c>
      <c r="C60" s="473">
        <f>'Cost of Equity'!AE98</f>
        <v>-1.4988612493750636E-2</v>
      </c>
    </row>
    <row r="61" spans="1:3">
      <c r="A61" s="474">
        <f>'Cost of Equity'!A99</f>
        <v>41670</v>
      </c>
      <c r="B61" s="473">
        <f>'Cost of Equity'!AZ99</f>
        <v>-5.6176413201598871E-2</v>
      </c>
      <c r="C61" s="473">
        <f>'Cost of Equity'!AE99</f>
        <v>-5.7552574748085318E-2</v>
      </c>
    </row>
    <row r="62" spans="1:3">
      <c r="A62" s="474">
        <f>'Cost of Equity'!A100</f>
        <v>41698</v>
      </c>
      <c r="B62" s="473">
        <f>'Cost of Equity'!AZ100</f>
        <v>3.5629117406641098E-2</v>
      </c>
      <c r="C62" s="473">
        <f>'Cost of Equity'!AE100</f>
        <v>-7.9995616403138084E-2</v>
      </c>
    </row>
    <row r="63" spans="1:3">
      <c r="A63" s="474">
        <f>'Cost of Equity'!A101</f>
        <v>41729</v>
      </c>
      <c r="B63" s="473">
        <f>'Cost of Equity'!AZ101</f>
        <v>-3.0594925227793668E-2</v>
      </c>
      <c r="C63" s="473">
        <f>'Cost of Equity'!AE101</f>
        <v>3.6506621349691605E-2</v>
      </c>
    </row>
    <row r="64" spans="1:3">
      <c r="A64" s="474">
        <f>'Cost of Equity'!A102</f>
        <v>41759</v>
      </c>
      <c r="B64" s="473">
        <f>'Cost of Equity'!AZ102</f>
        <v>-8.7181841576626127E-4</v>
      </c>
      <c r="C64" s="473">
        <f>'Cost of Equity'!AE102</f>
        <v>-5.9918495210910104E-2</v>
      </c>
    </row>
    <row r="65" spans="1:3">
      <c r="A65" s="474">
        <f>'Cost of Equity'!A103</f>
        <v>41789</v>
      </c>
      <c r="B65" s="473">
        <f>'Cost of Equity'!AZ103</f>
        <v>4.1824397091701646E-2</v>
      </c>
      <c r="C65" s="473">
        <f>'Cost of Equity'!AE103</f>
        <v>0.14025735769492245</v>
      </c>
    </row>
    <row r="66" spans="1:3">
      <c r="A66" s="474">
        <f>'Cost of Equity'!A104</f>
        <v>41820</v>
      </c>
      <c r="B66" s="473">
        <f>'Cost of Equity'!AZ104</f>
        <v>4.6142690984097273E-3</v>
      </c>
      <c r="C66" s="473">
        <f>'Cost of Equity'!AE104</f>
        <v>0.16564501260817766</v>
      </c>
    </row>
    <row r="67" spans="1:3">
      <c r="A67" s="474">
        <f>'Cost of Equity'!A105</f>
        <v>41851</v>
      </c>
      <c r="B67" s="473">
        <f>'Cost of Equity'!AZ105</f>
        <v>6.5250019747434301E-2</v>
      </c>
      <c r="C67" s="473">
        <f>'Cost of Equity'!AE105</f>
        <v>-1E-4</v>
      </c>
    </row>
    <row r="68" spans="1:3">
      <c r="A68" s="474">
        <f>'Cost of Equity'!A106</f>
        <v>41880</v>
      </c>
      <c r="B68" s="473">
        <f>'Cost of Equity'!AZ106</f>
        <v>-6.9758893438814516E-4</v>
      </c>
      <c r="C68" s="473">
        <f>'Cost of Equity'!AE106</f>
        <v>3.389760854141962E-2</v>
      </c>
    </row>
    <row r="69" spans="1:3">
      <c r="A69" s="474">
        <f>'Cost of Equity'!A107</f>
        <v>41912</v>
      </c>
      <c r="B69" s="473">
        <f>'Cost of Equity'!AZ107</f>
        <v>-7.6028580288215269E-2</v>
      </c>
      <c r="C69" s="473">
        <f>'Cost of Equity'!AE107</f>
        <v>1.37314791484618E-2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U63"/>
  <sheetViews>
    <sheetView zoomScale="80" zoomScaleNormal="80" zoomScalePageLayoutView="80" workbookViewId="0">
      <selection activeCell="D8" sqref="D8"/>
    </sheetView>
  </sheetViews>
  <sheetFormatPr defaultColWidth="9.140625" defaultRowHeight="14.25"/>
  <cols>
    <col min="1" max="1" width="29.7109375" style="271" customWidth="1"/>
    <col min="2" max="2" width="13.42578125" style="271" customWidth="1"/>
    <col min="3" max="3" width="14.28515625" style="271" customWidth="1"/>
    <col min="4" max="4" width="17.42578125" style="271" bestFit="1" customWidth="1"/>
    <col min="5" max="5" width="2.7109375" style="274" customWidth="1"/>
    <col min="6" max="6" width="31.28515625" style="271" bestFit="1" customWidth="1"/>
    <col min="7" max="7" width="14.42578125" style="271" customWidth="1"/>
    <col min="8" max="11" width="12.85546875" style="271" bestFit="1" customWidth="1"/>
    <col min="12" max="12" width="2.7109375" style="274" customWidth="1"/>
    <col min="13" max="13" width="31.85546875" style="271" customWidth="1"/>
    <col min="14" max="14" width="18" style="271" customWidth="1"/>
    <col min="15" max="15" width="16.42578125" style="271" customWidth="1"/>
    <col min="16" max="16" width="20.140625" style="271" customWidth="1"/>
    <col min="17" max="17" width="14.28515625" style="271" bestFit="1" customWidth="1"/>
    <col min="18" max="18" width="2.7109375" style="271" customWidth="1"/>
    <col min="19" max="16384" width="9.140625" style="271"/>
  </cols>
  <sheetData>
    <row r="1" spans="1:18" ht="15">
      <c r="A1" s="312" t="s">
        <v>219</v>
      </c>
      <c r="B1" s="313"/>
      <c r="C1" s="313"/>
      <c r="D1" s="313"/>
      <c r="E1" s="270"/>
      <c r="F1" s="312" t="s">
        <v>220</v>
      </c>
      <c r="G1" s="313"/>
      <c r="H1" s="313"/>
      <c r="I1" s="313"/>
      <c r="J1" s="313"/>
      <c r="K1" s="313"/>
      <c r="L1" s="270"/>
      <c r="M1" s="312" t="s">
        <v>221</v>
      </c>
      <c r="N1" s="313"/>
      <c r="O1" s="313"/>
      <c r="P1" s="313"/>
      <c r="Q1" s="313"/>
      <c r="R1" s="270"/>
    </row>
    <row r="2" spans="1:18" ht="15">
      <c r="A2" s="272" t="s">
        <v>222</v>
      </c>
      <c r="B2" s="272"/>
      <c r="C2" s="272"/>
      <c r="D2" s="273" t="s">
        <v>309</v>
      </c>
      <c r="E2" s="270"/>
      <c r="F2" s="274"/>
      <c r="G2" s="273">
        <v>2010</v>
      </c>
      <c r="H2" s="273">
        <v>2011</v>
      </c>
      <c r="I2" s="273">
        <v>2012</v>
      </c>
      <c r="J2" s="273">
        <v>2013</v>
      </c>
      <c r="K2" s="273" t="s">
        <v>179</v>
      </c>
      <c r="L2" s="270"/>
      <c r="N2" s="273">
        <v>2010</v>
      </c>
      <c r="O2" s="273">
        <v>2011</v>
      </c>
      <c r="P2" s="273">
        <v>2012</v>
      </c>
      <c r="Q2" s="273">
        <v>2013</v>
      </c>
      <c r="R2" s="270"/>
    </row>
    <row r="3" spans="1:18" ht="15">
      <c r="A3" s="274" t="s">
        <v>204</v>
      </c>
      <c r="B3" s="274"/>
      <c r="C3" s="274"/>
      <c r="D3" s="275" t="s">
        <v>310</v>
      </c>
      <c r="E3" s="270"/>
      <c r="F3" s="272" t="s">
        <v>224</v>
      </c>
      <c r="G3" s="276"/>
      <c r="H3" s="276"/>
      <c r="I3" s="276">
        <v>1291.9000000000001</v>
      </c>
      <c r="J3" s="276">
        <v>1453.2</v>
      </c>
      <c r="K3" s="276"/>
      <c r="L3" s="270"/>
      <c r="M3" s="274" t="s">
        <v>155</v>
      </c>
      <c r="N3" s="277"/>
      <c r="O3" s="278"/>
      <c r="P3" s="278">
        <v>84.6</v>
      </c>
      <c r="Q3" s="278">
        <v>94.5</v>
      </c>
      <c r="R3" s="270"/>
    </row>
    <row r="4" spans="1:18">
      <c r="A4" s="274" t="s">
        <v>225</v>
      </c>
      <c r="B4" s="274"/>
      <c r="C4" s="274"/>
      <c r="D4" s="275" t="s">
        <v>226</v>
      </c>
      <c r="E4" s="270"/>
      <c r="F4" s="274" t="s">
        <v>177</v>
      </c>
      <c r="G4" s="277"/>
      <c r="H4" s="277"/>
      <c r="I4" s="277">
        <v>1117.7</v>
      </c>
      <c r="J4" s="277">
        <v>1257.4000000000001</v>
      </c>
      <c r="K4" s="277"/>
      <c r="L4" s="270"/>
      <c r="M4" s="279" t="s">
        <v>227</v>
      </c>
      <c r="N4" s="280"/>
      <c r="O4" s="280"/>
      <c r="P4" s="280">
        <f>P3/I3</f>
        <v>6.5484944655159055E-2</v>
      </c>
      <c r="Q4" s="280">
        <f>Q3/J3</f>
        <v>6.5028901734104042E-2</v>
      </c>
      <c r="R4" s="270"/>
    </row>
    <row r="5" spans="1:18" ht="15">
      <c r="A5" s="274" t="s">
        <v>228</v>
      </c>
      <c r="B5" s="274"/>
      <c r="C5" s="274"/>
      <c r="D5" s="281">
        <v>41639</v>
      </c>
      <c r="E5" s="270"/>
      <c r="F5" s="272" t="s">
        <v>63</v>
      </c>
      <c r="G5" s="276">
        <f t="shared" ref="G5:I5" si="0">G3-G4</f>
        <v>0</v>
      </c>
      <c r="H5" s="276">
        <f t="shared" si="0"/>
        <v>0</v>
      </c>
      <c r="I5" s="276">
        <f t="shared" si="0"/>
        <v>174.20000000000005</v>
      </c>
      <c r="J5" s="276">
        <f>J3-J4</f>
        <v>195.79999999999995</v>
      </c>
      <c r="K5" s="276"/>
      <c r="L5" s="270"/>
      <c r="M5" s="274" t="s">
        <v>150</v>
      </c>
      <c r="N5" s="278"/>
      <c r="O5" s="278"/>
      <c r="P5" s="278">
        <f>7.6+96.4</f>
        <v>104</v>
      </c>
      <c r="Q5" s="278">
        <f>85.2</f>
        <v>85.2</v>
      </c>
      <c r="R5" s="270"/>
    </row>
    <row r="6" spans="1:18">
      <c r="A6" s="274" t="s">
        <v>229</v>
      </c>
      <c r="B6" s="274"/>
      <c r="C6" s="274"/>
      <c r="D6" s="275"/>
      <c r="E6" s="270"/>
      <c r="F6" s="274" t="s">
        <v>231</v>
      </c>
      <c r="G6" s="277"/>
      <c r="H6" s="277"/>
      <c r="I6" s="277">
        <f>44.1+60.2+30.8</f>
        <v>135.10000000000002</v>
      </c>
      <c r="J6" s="277">
        <f>58.7+62.6+33.5</f>
        <v>154.80000000000001</v>
      </c>
      <c r="K6" s="277"/>
      <c r="L6" s="270"/>
      <c r="M6" s="279" t="s">
        <v>227</v>
      </c>
      <c r="N6" s="280"/>
      <c r="O6" s="280"/>
      <c r="P6" s="280">
        <f>P5/I3</f>
        <v>8.050158681012462E-2</v>
      </c>
      <c r="Q6" s="280">
        <f>Q5/J3</f>
        <v>5.8629232039636665E-2</v>
      </c>
      <c r="R6" s="270"/>
    </row>
    <row r="7" spans="1:18">
      <c r="A7" s="274" t="s">
        <v>232</v>
      </c>
      <c r="B7" s="274"/>
      <c r="C7" s="274"/>
      <c r="D7" s="275"/>
      <c r="E7" s="270"/>
      <c r="F7" s="274" t="s">
        <v>233</v>
      </c>
      <c r="G7" s="277"/>
      <c r="H7" s="277"/>
      <c r="I7" s="277">
        <f>-37+25.1+15.9-2</f>
        <v>2.0000000000000018</v>
      </c>
      <c r="J7" s="277">
        <f>-17+13.9-1.6-1.8</f>
        <v>-6.4999999999999991</v>
      </c>
      <c r="K7" s="277"/>
      <c r="L7" s="270"/>
      <c r="M7" s="274"/>
      <c r="N7" s="274"/>
      <c r="O7" s="274"/>
      <c r="P7" s="274"/>
      <c r="Q7" s="274"/>
      <c r="R7" s="270"/>
    </row>
    <row r="8" spans="1:18" ht="15">
      <c r="A8" s="274" t="s">
        <v>234</v>
      </c>
      <c r="B8" s="274"/>
      <c r="C8" s="274"/>
      <c r="D8" s="400">
        <f>'Deutz Regression'!F19</f>
        <v>0.85793273031627493</v>
      </c>
      <c r="E8" s="270"/>
      <c r="F8" s="272" t="s">
        <v>195</v>
      </c>
      <c r="G8" s="276">
        <f>G5-G6-G7</f>
        <v>0</v>
      </c>
      <c r="H8" s="276">
        <f t="shared" ref="H8:I8" si="1">H5-H6-H7</f>
        <v>0</v>
      </c>
      <c r="I8" s="276">
        <f t="shared" si="1"/>
        <v>37.100000000000023</v>
      </c>
      <c r="J8" s="276">
        <f>J5-J6-J7</f>
        <v>47.499999999999943</v>
      </c>
      <c r="K8" s="276"/>
      <c r="L8" s="270"/>
      <c r="M8" s="270"/>
      <c r="N8" s="270"/>
      <c r="O8" s="270"/>
      <c r="P8" s="270"/>
      <c r="Q8" s="270"/>
      <c r="R8" s="270"/>
    </row>
    <row r="9" spans="1:18" ht="15">
      <c r="A9" s="274" t="s">
        <v>24</v>
      </c>
      <c r="B9" s="274"/>
      <c r="C9" s="274"/>
      <c r="D9" s="282">
        <v>0.29580000000000001</v>
      </c>
      <c r="E9" s="270"/>
      <c r="F9" s="274" t="s">
        <v>235</v>
      </c>
      <c r="G9" s="277"/>
      <c r="H9" s="277"/>
      <c r="I9" s="277">
        <f>10.6</f>
        <v>10.6</v>
      </c>
      <c r="J9" s="277">
        <f>6</f>
        <v>6</v>
      </c>
      <c r="K9" s="277"/>
      <c r="L9" s="270"/>
      <c r="M9" s="312" t="s">
        <v>236</v>
      </c>
      <c r="N9" s="313"/>
      <c r="O9" s="313"/>
      <c r="P9" s="313"/>
      <c r="Q9" s="313"/>
      <c r="R9" s="270"/>
    </row>
    <row r="10" spans="1:18" ht="15">
      <c r="A10" s="270"/>
      <c r="B10" s="270"/>
      <c r="C10" s="270"/>
      <c r="D10" s="270"/>
      <c r="E10" s="270"/>
      <c r="F10" s="274" t="s">
        <v>237</v>
      </c>
      <c r="G10" s="277"/>
      <c r="H10" s="277"/>
      <c r="I10" s="277"/>
      <c r="J10" s="277"/>
      <c r="K10" s="277"/>
      <c r="L10" s="270"/>
      <c r="M10" s="274"/>
      <c r="N10" s="274"/>
      <c r="O10" s="274"/>
      <c r="P10" s="273">
        <v>2012</v>
      </c>
      <c r="Q10" s="273">
        <v>2013</v>
      </c>
      <c r="R10" s="270"/>
    </row>
    <row r="11" spans="1:18" ht="15">
      <c r="A11" s="312" t="s">
        <v>238</v>
      </c>
      <c r="B11" s="313"/>
      <c r="C11" s="313"/>
      <c r="D11" s="313"/>
      <c r="E11" s="270"/>
      <c r="F11" s="274" t="s">
        <v>59</v>
      </c>
      <c r="G11" s="277"/>
      <c r="H11" s="277"/>
      <c r="I11" s="277">
        <f>4.4+1.1</f>
        <v>5.5</v>
      </c>
      <c r="J11" s="277">
        <f>5.5</f>
        <v>5.5</v>
      </c>
      <c r="K11" s="277"/>
      <c r="L11" s="270"/>
      <c r="M11" s="274" t="s">
        <v>239</v>
      </c>
      <c r="N11" s="274"/>
      <c r="O11" s="274"/>
      <c r="P11" s="277">
        <v>52.1</v>
      </c>
      <c r="Q11" s="277">
        <v>58.9</v>
      </c>
      <c r="R11" s="270"/>
    </row>
    <row r="12" spans="1:18">
      <c r="A12" s="274" t="s">
        <v>240</v>
      </c>
      <c r="B12" s="283">
        <v>41912</v>
      </c>
      <c r="C12" s="284"/>
      <c r="D12" s="285">
        <v>3.81</v>
      </c>
      <c r="E12" s="270"/>
      <c r="F12" s="274" t="s">
        <v>241</v>
      </c>
      <c r="G12" s="277"/>
      <c r="H12" s="277"/>
      <c r="I12" s="277"/>
      <c r="J12" s="277"/>
      <c r="K12" s="277"/>
      <c r="L12" s="270"/>
      <c r="M12" s="274" t="s">
        <v>242</v>
      </c>
      <c r="N12" s="274"/>
      <c r="O12" s="274"/>
      <c r="P12" s="277">
        <f>116.1+32.8</f>
        <v>148.89999999999998</v>
      </c>
      <c r="Q12" s="277">
        <f>149.1+60.6</f>
        <v>209.7</v>
      </c>
      <c r="R12" s="270"/>
    </row>
    <row r="13" spans="1:18">
      <c r="A13" s="279" t="s">
        <v>243</v>
      </c>
      <c r="B13" s="274"/>
      <c r="C13" s="286"/>
      <c r="D13" s="287">
        <f>D12/D14</f>
        <v>0.51626016260162599</v>
      </c>
      <c r="E13" s="270"/>
      <c r="F13" s="274" t="s">
        <v>244</v>
      </c>
      <c r="G13" s="277"/>
      <c r="H13" s="277"/>
      <c r="I13" s="277"/>
      <c r="J13" s="277"/>
      <c r="K13" s="277"/>
      <c r="L13" s="270"/>
      <c r="M13" s="274" t="s">
        <v>105</v>
      </c>
      <c r="N13" s="274"/>
      <c r="O13" s="274"/>
      <c r="P13" s="277">
        <v>184.4</v>
      </c>
      <c r="Q13" s="277">
        <v>224.6</v>
      </c>
      <c r="R13" s="270"/>
    </row>
    <row r="14" spans="1:18" ht="15">
      <c r="A14" s="274" t="s">
        <v>245</v>
      </c>
      <c r="B14" s="274"/>
      <c r="C14" s="284"/>
      <c r="D14" s="285">
        <v>7.38</v>
      </c>
      <c r="E14" s="270"/>
      <c r="F14" s="272" t="s">
        <v>55</v>
      </c>
      <c r="G14" s="276">
        <v>4498</v>
      </c>
      <c r="H14" s="276">
        <v>5667</v>
      </c>
      <c r="I14" s="276">
        <f>I8-SUM(I9:I13)</f>
        <v>21.000000000000021</v>
      </c>
      <c r="J14" s="276">
        <f>J8-SUM(J9:J13)</f>
        <v>35.999999999999943</v>
      </c>
      <c r="K14" s="276"/>
      <c r="L14" s="270"/>
      <c r="M14" s="274" t="s">
        <v>246</v>
      </c>
      <c r="N14" s="274"/>
      <c r="O14" s="274"/>
      <c r="P14" s="277"/>
      <c r="Q14" s="277"/>
      <c r="R14" s="270"/>
    </row>
    <row r="15" spans="1:18" ht="15">
      <c r="A15" s="274" t="s">
        <v>247</v>
      </c>
      <c r="B15" s="274"/>
      <c r="C15" s="284"/>
      <c r="D15" s="285">
        <v>3.51</v>
      </c>
      <c r="E15" s="270"/>
      <c r="F15" s="272"/>
      <c r="G15" s="274"/>
      <c r="H15" s="274"/>
      <c r="I15" s="274"/>
      <c r="J15" s="274"/>
      <c r="K15" s="274"/>
      <c r="L15" s="270"/>
      <c r="M15" s="272" t="s">
        <v>248</v>
      </c>
      <c r="N15" s="272"/>
      <c r="O15" s="272"/>
      <c r="P15" s="276">
        <f>SUM(P11:P14)</f>
        <v>385.4</v>
      </c>
      <c r="Q15" s="276">
        <f>SUM(Q11:Q14)</f>
        <v>493.19999999999993</v>
      </c>
      <c r="R15" s="270"/>
    </row>
    <row r="16" spans="1:18" ht="15">
      <c r="A16" s="274" t="s">
        <v>249</v>
      </c>
      <c r="B16" s="274"/>
      <c r="C16" s="284"/>
      <c r="D16" s="285">
        <v>7.0000000000000007E-2</v>
      </c>
      <c r="E16" s="270"/>
      <c r="F16" s="274" t="s">
        <v>250</v>
      </c>
      <c r="G16" s="277">
        <v>0</v>
      </c>
      <c r="H16" s="277">
        <v>0</v>
      </c>
      <c r="I16" s="277">
        <v>0</v>
      </c>
      <c r="J16" s="277">
        <v>0</v>
      </c>
      <c r="K16" s="277"/>
      <c r="L16" s="270"/>
      <c r="M16" s="274"/>
      <c r="N16" s="274"/>
      <c r="O16" s="274"/>
      <c r="P16" s="277"/>
      <c r="Q16" s="276"/>
      <c r="R16" s="270"/>
    </row>
    <row r="17" spans="1:18">
      <c r="A17" s="274"/>
      <c r="B17" s="274"/>
      <c r="C17" s="275"/>
      <c r="D17" s="275"/>
      <c r="E17" s="270"/>
      <c r="F17" s="274" t="s">
        <v>251</v>
      </c>
      <c r="G17" s="277">
        <v>0</v>
      </c>
      <c r="H17" s="277">
        <v>0</v>
      </c>
      <c r="I17" s="277">
        <v>0</v>
      </c>
      <c r="J17" s="277">
        <v>0</v>
      </c>
      <c r="K17" s="277"/>
      <c r="L17" s="270"/>
      <c r="M17" s="274" t="s">
        <v>252</v>
      </c>
      <c r="N17" s="274"/>
      <c r="O17" s="274"/>
      <c r="P17" s="277">
        <v>318.89999999999998</v>
      </c>
      <c r="Q17" s="277">
        <v>306.39999999999998</v>
      </c>
      <c r="R17" s="270"/>
    </row>
    <row r="18" spans="1:18">
      <c r="A18" s="274" t="s">
        <v>253</v>
      </c>
      <c r="B18" s="274"/>
      <c r="C18" s="274"/>
      <c r="D18" s="288">
        <v>120.86199999999999</v>
      </c>
      <c r="E18" s="270"/>
      <c r="F18" s="274" t="s">
        <v>254</v>
      </c>
      <c r="G18" s="277">
        <v>0</v>
      </c>
      <c r="H18" s="277">
        <v>0</v>
      </c>
      <c r="I18" s="277">
        <v>0</v>
      </c>
      <c r="J18" s="277">
        <v>0</v>
      </c>
      <c r="K18" s="277"/>
      <c r="L18" s="270"/>
      <c r="M18" s="274" t="s">
        <v>255</v>
      </c>
      <c r="N18" s="274"/>
      <c r="O18" s="274"/>
      <c r="P18" s="277">
        <f>244.3</f>
        <v>244.3</v>
      </c>
      <c r="Q18" s="277">
        <f>237.9</f>
        <v>237.9</v>
      </c>
      <c r="R18" s="270"/>
    </row>
    <row r="19" spans="1:18" ht="15">
      <c r="A19" s="272" t="s">
        <v>256</v>
      </c>
      <c r="B19" s="274"/>
      <c r="C19" s="289"/>
      <c r="D19" s="290">
        <f>D12*D18</f>
        <v>460.48421999999999</v>
      </c>
      <c r="E19" s="270"/>
      <c r="F19" s="274"/>
      <c r="G19" s="274"/>
      <c r="H19" s="274"/>
      <c r="I19" s="274"/>
      <c r="J19" s="291"/>
      <c r="K19" s="291"/>
      <c r="L19" s="270"/>
      <c r="M19" s="274" t="s">
        <v>257</v>
      </c>
      <c r="N19" s="274"/>
      <c r="O19" s="274"/>
      <c r="P19" s="277">
        <f>47.1+11+27.4</f>
        <v>85.5</v>
      </c>
      <c r="Q19" s="277">
        <f>46+6.3+30.8</f>
        <v>83.1</v>
      </c>
      <c r="R19" s="270"/>
    </row>
    <row r="20" spans="1:18" ht="15">
      <c r="A20" s="274" t="s">
        <v>258</v>
      </c>
      <c r="B20" s="274"/>
      <c r="C20" s="284"/>
      <c r="D20" s="288">
        <f>Q29</f>
        <v>616.29999999999995</v>
      </c>
      <c r="E20" s="270"/>
      <c r="F20" s="270"/>
      <c r="G20" s="270"/>
      <c r="H20" s="270"/>
      <c r="I20" s="270"/>
      <c r="J20" s="270"/>
      <c r="K20" s="270"/>
      <c r="L20" s="270"/>
      <c r="M20" s="272" t="s">
        <v>97</v>
      </c>
      <c r="N20" s="272"/>
      <c r="O20" s="272"/>
      <c r="P20" s="276">
        <f>P15+P17+P18+P19</f>
        <v>1034.0999999999999</v>
      </c>
      <c r="Q20" s="276">
        <f>Q16+Q17+Q18+Q19+Q15</f>
        <v>1120.5999999999999</v>
      </c>
      <c r="R20" s="270"/>
    </row>
    <row r="21" spans="1:18" ht="15">
      <c r="A21" s="274" t="s">
        <v>183</v>
      </c>
      <c r="B21" s="274"/>
      <c r="C21" s="284"/>
      <c r="D21" s="288">
        <v>0</v>
      </c>
      <c r="E21" s="270"/>
      <c r="F21" s="312" t="s">
        <v>259</v>
      </c>
      <c r="G21" s="313"/>
      <c r="H21" s="313"/>
      <c r="I21" s="313"/>
      <c r="J21" s="313"/>
      <c r="K21" s="313"/>
      <c r="L21" s="270"/>
      <c r="M21" s="274"/>
      <c r="N21" s="274"/>
      <c r="O21" s="274"/>
      <c r="P21" s="277"/>
      <c r="Q21" s="277"/>
      <c r="R21" s="270"/>
    </row>
    <row r="22" spans="1:18">
      <c r="A22" s="274" t="s">
        <v>241</v>
      </c>
      <c r="B22" s="274"/>
      <c r="C22" s="284"/>
      <c r="D22" s="288">
        <v>0</v>
      </c>
      <c r="E22" s="270"/>
      <c r="F22" s="274" t="s">
        <v>260</v>
      </c>
      <c r="G22" s="277">
        <f>G5</f>
        <v>0</v>
      </c>
      <c r="H22" s="277">
        <f>H5</f>
        <v>0</v>
      </c>
      <c r="I22" s="277">
        <f>I5</f>
        <v>174.20000000000005</v>
      </c>
      <c r="J22" s="277">
        <f>J5</f>
        <v>195.79999999999995</v>
      </c>
      <c r="K22" s="277"/>
      <c r="L22" s="270"/>
      <c r="M22" s="274" t="s">
        <v>261</v>
      </c>
      <c r="N22" s="274"/>
      <c r="O22" s="274"/>
      <c r="P22" s="277">
        <f>156.9</f>
        <v>156.9</v>
      </c>
      <c r="Q22" s="277">
        <f>201.4</f>
        <v>201.4</v>
      </c>
      <c r="R22" s="270"/>
    </row>
    <row r="23" spans="1:18">
      <c r="A23" s="274" t="s">
        <v>239</v>
      </c>
      <c r="B23" s="274"/>
      <c r="C23" s="284"/>
      <c r="D23" s="288">
        <v>11.053000000000001</v>
      </c>
      <c r="E23" s="270"/>
      <c r="F23" s="274" t="s">
        <v>262</v>
      </c>
      <c r="G23" s="277">
        <v>0</v>
      </c>
      <c r="H23" s="277">
        <v>0</v>
      </c>
      <c r="I23" s="277">
        <v>0</v>
      </c>
      <c r="J23" s="277">
        <v>0</v>
      </c>
      <c r="K23" s="277"/>
      <c r="L23" s="270"/>
      <c r="M23" s="274" t="s">
        <v>263</v>
      </c>
      <c r="N23" s="274"/>
      <c r="O23" s="274"/>
      <c r="P23" s="277">
        <v>52.3</v>
      </c>
      <c r="Q23" s="277">
        <v>50.4</v>
      </c>
      <c r="R23" s="270"/>
    </row>
    <row r="24" spans="1:18" ht="15">
      <c r="A24" s="272" t="s">
        <v>264</v>
      </c>
      <c r="B24" s="274"/>
      <c r="C24" s="289"/>
      <c r="D24" s="290">
        <f>D19+D20+D21+D22-D23</f>
        <v>1065.7312199999999</v>
      </c>
      <c r="E24" s="270"/>
      <c r="F24" s="272" t="s">
        <v>265</v>
      </c>
      <c r="G24" s="276">
        <v>0</v>
      </c>
      <c r="H24" s="276">
        <v>0</v>
      </c>
      <c r="I24" s="276">
        <v>0</v>
      </c>
      <c r="J24" s="276">
        <v>0</v>
      </c>
      <c r="K24" s="276"/>
      <c r="L24" s="270"/>
      <c r="M24" s="274" t="s">
        <v>266</v>
      </c>
      <c r="N24" s="274"/>
      <c r="O24" s="274"/>
      <c r="P24" s="277">
        <f>15.4+2.2+41.6+1.1</f>
        <v>60.300000000000004</v>
      </c>
      <c r="Q24" s="277">
        <f>7.6+45.2+4.3+14.9</f>
        <v>72</v>
      </c>
      <c r="R24" s="270"/>
    </row>
    <row r="25" spans="1:18" ht="15">
      <c r="A25" s="270"/>
      <c r="B25" s="270"/>
      <c r="C25" s="270"/>
      <c r="D25" s="270"/>
      <c r="E25" s="270"/>
      <c r="F25" s="279" t="s">
        <v>154</v>
      </c>
      <c r="G25" s="292" t="str">
        <f t="shared" ref="G25:I25" si="2">IFERROR(G24/G$3,"")</f>
        <v/>
      </c>
      <c r="H25" s="292" t="str">
        <f t="shared" si="2"/>
        <v/>
      </c>
      <c r="I25" s="292">
        <f t="shared" si="2"/>
        <v>0</v>
      </c>
      <c r="J25" s="292">
        <f>IFERROR(J24/J$3,"")</f>
        <v>0</v>
      </c>
      <c r="K25" s="292"/>
      <c r="L25" s="270"/>
      <c r="M25" s="272" t="s">
        <v>94</v>
      </c>
      <c r="N25" s="272"/>
      <c r="O25" s="272"/>
      <c r="P25" s="276">
        <f>SUM(P22:P24)</f>
        <v>269.5</v>
      </c>
      <c r="Q25" s="276">
        <f>SUM(Q22:Q24)</f>
        <v>323.8</v>
      </c>
      <c r="R25" s="270"/>
    </row>
    <row r="26" spans="1:18" ht="15">
      <c r="A26" s="312" t="s">
        <v>267</v>
      </c>
      <c r="B26" s="313"/>
      <c r="C26" s="313"/>
      <c r="D26" s="313"/>
      <c r="E26" s="270"/>
      <c r="F26" s="274"/>
      <c r="G26" s="277"/>
      <c r="H26" s="277"/>
      <c r="I26" s="277"/>
      <c r="J26" s="277"/>
      <c r="K26" s="277"/>
      <c r="L26" s="270"/>
      <c r="M26" s="274"/>
      <c r="N26" s="274"/>
      <c r="O26" s="274"/>
      <c r="P26" s="277"/>
      <c r="Q26" s="277"/>
      <c r="R26" s="270"/>
    </row>
    <row r="27" spans="1:18" ht="15">
      <c r="A27" s="272"/>
      <c r="B27" s="273"/>
      <c r="D27" s="273">
        <v>2013</v>
      </c>
      <c r="E27" s="270"/>
      <c r="F27" s="274" t="s">
        <v>268</v>
      </c>
      <c r="G27" s="277">
        <f>G8</f>
        <v>0</v>
      </c>
      <c r="H27" s="277">
        <f>H8</f>
        <v>0</v>
      </c>
      <c r="I27" s="277">
        <f>I8</f>
        <v>37.100000000000023</v>
      </c>
      <c r="J27" s="277">
        <f>J8</f>
        <v>47.499999999999943</v>
      </c>
      <c r="K27" s="277"/>
      <c r="L27" s="270"/>
      <c r="M27" s="274" t="s">
        <v>258</v>
      </c>
      <c r="N27" s="274"/>
      <c r="O27" s="274"/>
      <c r="P27" s="277">
        <f>181.8</f>
        <v>181.8</v>
      </c>
      <c r="Q27" s="277">
        <v>168.6</v>
      </c>
      <c r="R27" s="270"/>
    </row>
    <row r="28" spans="1:18">
      <c r="E28" s="270"/>
      <c r="F28" s="274" t="s">
        <v>262</v>
      </c>
      <c r="G28" s="277">
        <v>0</v>
      </c>
      <c r="H28" s="277">
        <v>0</v>
      </c>
      <c r="I28" s="277">
        <v>0</v>
      </c>
      <c r="J28" s="277">
        <v>0</v>
      </c>
      <c r="K28" s="277"/>
      <c r="L28" s="270"/>
      <c r="M28" s="274" t="s">
        <v>269</v>
      </c>
      <c r="N28" s="274"/>
      <c r="O28" s="274"/>
      <c r="P28" s="277">
        <f>25.4+99.6+5</f>
        <v>130</v>
      </c>
      <c r="Q28" s="277">
        <f>37.2+83+3.7</f>
        <v>123.9</v>
      </c>
      <c r="R28" s="270"/>
    </row>
    <row r="29" spans="1:18" ht="15">
      <c r="A29" s="272" t="s">
        <v>270</v>
      </c>
      <c r="B29" s="274"/>
      <c r="D29" s="293">
        <f>D24/J3</f>
        <v>0.73336857968620961</v>
      </c>
      <c r="E29" s="270"/>
      <c r="F29" s="274" t="s">
        <v>271</v>
      </c>
      <c r="G29" s="277">
        <v>0</v>
      </c>
      <c r="H29" s="277">
        <v>0</v>
      </c>
      <c r="I29" s="277">
        <v>0</v>
      </c>
      <c r="J29" s="277">
        <v>0</v>
      </c>
      <c r="K29" s="277"/>
      <c r="L29" s="270"/>
      <c r="M29" s="272" t="s">
        <v>88</v>
      </c>
      <c r="N29" s="272"/>
      <c r="O29" s="272"/>
      <c r="P29" s="276">
        <f>P25+P27+P28</f>
        <v>581.29999999999995</v>
      </c>
      <c r="Q29" s="276">
        <f>Q25+Q27+Q28</f>
        <v>616.29999999999995</v>
      </c>
      <c r="R29" s="270"/>
    </row>
    <row r="30" spans="1:18" ht="15">
      <c r="A30" s="274"/>
      <c r="B30" s="274"/>
      <c r="D30" s="294"/>
      <c r="E30" s="270"/>
      <c r="F30" s="272" t="s">
        <v>272</v>
      </c>
      <c r="G30" s="276">
        <v>0</v>
      </c>
      <c r="H30" s="276">
        <v>0</v>
      </c>
      <c r="I30" s="276">
        <v>0</v>
      </c>
      <c r="J30" s="276">
        <v>0</v>
      </c>
      <c r="K30" s="276"/>
      <c r="L30" s="270"/>
      <c r="M30" s="274"/>
      <c r="N30" s="274"/>
      <c r="O30" s="274"/>
      <c r="P30" s="277"/>
      <c r="Q30" s="277"/>
      <c r="R30" s="270"/>
    </row>
    <row r="31" spans="1:18" ht="15">
      <c r="A31" s="272" t="s">
        <v>273</v>
      </c>
      <c r="B31" s="274"/>
      <c r="D31" s="293">
        <f>D24/(J8+Q3)</f>
        <v>7.5051494366197202</v>
      </c>
      <c r="E31" s="270"/>
      <c r="F31" s="279" t="s">
        <v>154</v>
      </c>
      <c r="G31" s="292" t="str">
        <f t="shared" ref="G31:I31" si="3">IFERROR(G30/G$3,"")</f>
        <v/>
      </c>
      <c r="H31" s="292" t="str">
        <f t="shared" si="3"/>
        <v/>
      </c>
      <c r="I31" s="292">
        <f t="shared" si="3"/>
        <v>0</v>
      </c>
      <c r="J31" s="292">
        <f>IFERROR(J30/J$3,"")</f>
        <v>0</v>
      </c>
      <c r="K31" s="292"/>
      <c r="L31" s="270"/>
      <c r="M31" s="274" t="s">
        <v>241</v>
      </c>
      <c r="N31" s="274"/>
      <c r="O31" s="274"/>
      <c r="P31" s="277">
        <v>6.5</v>
      </c>
      <c r="Q31" s="277">
        <v>24.4</v>
      </c>
      <c r="R31" s="270"/>
    </row>
    <row r="32" spans="1:18">
      <c r="A32" s="274"/>
      <c r="B32" s="274"/>
      <c r="D32" s="295"/>
      <c r="E32" s="270"/>
      <c r="F32" s="274"/>
      <c r="G32" s="277"/>
      <c r="H32" s="277"/>
      <c r="I32" s="277"/>
      <c r="J32" s="277"/>
      <c r="K32" s="277"/>
      <c r="L32" s="270"/>
      <c r="M32" s="274" t="s">
        <v>183</v>
      </c>
      <c r="N32" s="274"/>
      <c r="O32" s="274"/>
      <c r="P32" s="277"/>
      <c r="Q32" s="277"/>
      <c r="R32" s="270"/>
    </row>
    <row r="33" spans="1:21" ht="15">
      <c r="A33" s="272" t="s">
        <v>274</v>
      </c>
      <c r="B33" s="274"/>
      <c r="D33" s="293">
        <f>D24/J8</f>
        <v>22.436446736842129</v>
      </c>
      <c r="E33" s="270"/>
      <c r="F33" s="274" t="s">
        <v>151</v>
      </c>
      <c r="G33" s="277">
        <v>0</v>
      </c>
      <c r="H33" s="277">
        <v>0</v>
      </c>
      <c r="I33" s="277">
        <v>0</v>
      </c>
      <c r="J33" s="277">
        <v>0</v>
      </c>
      <c r="K33" s="277"/>
      <c r="L33" s="270"/>
      <c r="M33" s="274" t="s">
        <v>275</v>
      </c>
      <c r="N33" s="274"/>
      <c r="O33" s="274"/>
      <c r="P33" s="277">
        <v>446.1</v>
      </c>
      <c r="Q33" s="277">
        <v>480.3</v>
      </c>
      <c r="R33" s="270"/>
    </row>
    <row r="34" spans="1:21" ht="15">
      <c r="A34" s="274"/>
      <c r="B34" s="274"/>
      <c r="D34" s="295"/>
      <c r="E34" s="270"/>
      <c r="F34" s="272" t="s">
        <v>276</v>
      </c>
      <c r="G34" s="276">
        <v>0</v>
      </c>
      <c r="H34" s="276">
        <v>0</v>
      </c>
      <c r="I34" s="276">
        <f>I33+I8</f>
        <v>37.100000000000023</v>
      </c>
      <c r="J34" s="276">
        <f>J33+J8</f>
        <v>47.499999999999943</v>
      </c>
      <c r="K34" s="276"/>
      <c r="L34" s="270"/>
      <c r="M34" s="296" t="s">
        <v>277</v>
      </c>
      <c r="N34" s="296"/>
      <c r="O34" s="296"/>
      <c r="P34" s="297">
        <f>P29+P33+P32+P31</f>
        <v>1033.9000000000001</v>
      </c>
      <c r="Q34" s="297">
        <f>Q29+Q33+Q32+Q31</f>
        <v>1121</v>
      </c>
      <c r="R34" s="270"/>
    </row>
    <row r="35" spans="1:21" ht="15">
      <c r="A35" s="272" t="s">
        <v>278</v>
      </c>
      <c r="B35" s="274"/>
      <c r="D35" s="293">
        <v>9.83</v>
      </c>
      <c r="E35" s="270"/>
      <c r="F35" s="279" t="s">
        <v>154</v>
      </c>
      <c r="G35" s="292" t="str">
        <f t="shared" ref="G35:I35" si="4">IFERROR(G34/G$3,"")</f>
        <v/>
      </c>
      <c r="H35" s="292" t="str">
        <f t="shared" si="4"/>
        <v/>
      </c>
      <c r="I35" s="292">
        <f t="shared" si="4"/>
        <v>2.8717392987073317E-2</v>
      </c>
      <c r="J35" s="292">
        <f>IFERROR(J34/J$3,"")</f>
        <v>3.2686484998623686E-2</v>
      </c>
      <c r="K35" s="292"/>
      <c r="L35" s="270"/>
      <c r="M35" s="279" t="s">
        <v>279</v>
      </c>
      <c r="N35" s="274"/>
      <c r="O35" s="274"/>
      <c r="P35" s="277">
        <v>0</v>
      </c>
      <c r="Q35" s="277">
        <v>0</v>
      </c>
      <c r="R35" s="270"/>
    </row>
    <row r="36" spans="1:21">
      <c r="A36" s="274"/>
      <c r="B36" s="274"/>
      <c r="C36" s="274"/>
      <c r="D36" s="275"/>
      <c r="E36" s="270"/>
      <c r="F36" s="274"/>
      <c r="G36" s="274"/>
      <c r="H36" s="274"/>
      <c r="I36" s="274"/>
      <c r="J36" s="274"/>
      <c r="K36" s="274"/>
      <c r="L36" s="270"/>
      <c r="R36" s="270"/>
    </row>
    <row r="37" spans="1:21" ht="15" customHeight="1">
      <c r="A37" s="298"/>
      <c r="B37" s="299"/>
      <c r="C37" s="299"/>
      <c r="D37" s="299"/>
      <c r="E37" s="270"/>
      <c r="F37" s="274" t="s">
        <v>280</v>
      </c>
      <c r="G37" s="277">
        <v>0</v>
      </c>
      <c r="H37" s="277">
        <v>0</v>
      </c>
      <c r="I37" s="277">
        <v>0</v>
      </c>
      <c r="J37" s="277">
        <v>0</v>
      </c>
      <c r="K37" s="277"/>
      <c r="L37" s="270"/>
      <c r="M37" s="270"/>
      <c r="N37" s="270"/>
      <c r="O37" s="270"/>
      <c r="P37" s="270"/>
      <c r="Q37" s="270"/>
      <c r="R37" s="270"/>
    </row>
    <row r="38" spans="1:21" ht="15">
      <c r="A38" s="274"/>
      <c r="B38" s="274"/>
      <c r="C38" s="300"/>
      <c r="D38" s="277"/>
      <c r="E38" s="270"/>
      <c r="F38" s="274" t="s">
        <v>262</v>
      </c>
      <c r="G38" s="277">
        <v>0</v>
      </c>
      <c r="H38" s="277">
        <v>0</v>
      </c>
      <c r="I38" s="277">
        <v>0</v>
      </c>
      <c r="J38" s="277">
        <v>0</v>
      </c>
      <c r="K38" s="277"/>
      <c r="L38" s="270"/>
      <c r="M38" s="312" t="s">
        <v>281</v>
      </c>
      <c r="N38" s="313"/>
      <c r="O38" s="313"/>
      <c r="P38" s="313"/>
      <c r="Q38" s="313"/>
      <c r="R38" s="270"/>
    </row>
    <row r="39" spans="1:21">
      <c r="A39" s="274"/>
      <c r="B39" s="274"/>
      <c r="C39" s="174"/>
      <c r="D39" s="301"/>
      <c r="E39" s="270"/>
      <c r="F39" s="274" t="s">
        <v>271</v>
      </c>
      <c r="G39" s="277">
        <v>0</v>
      </c>
      <c r="H39" s="277">
        <v>0</v>
      </c>
      <c r="I39" s="277">
        <v>0</v>
      </c>
      <c r="J39" s="277">
        <v>0</v>
      </c>
      <c r="K39" s="277"/>
      <c r="L39" s="270"/>
      <c r="M39" s="274" t="s">
        <v>282</v>
      </c>
      <c r="N39" s="302">
        <f>D20+Q33-SUM(Q17:Q19)</f>
        <v>469.19999999999993</v>
      </c>
      <c r="O39" s="274"/>
      <c r="P39" s="274"/>
      <c r="Q39" s="274"/>
      <c r="R39" s="270"/>
    </row>
    <row r="40" spans="1:21">
      <c r="A40" s="274"/>
      <c r="B40" s="274"/>
      <c r="C40" s="174"/>
      <c r="D40" s="301"/>
      <c r="E40" s="270"/>
      <c r="F40" s="274" t="s">
        <v>283</v>
      </c>
      <c r="G40" s="277">
        <v>0</v>
      </c>
      <c r="H40" s="277">
        <v>0</v>
      </c>
      <c r="I40" s="277">
        <v>0</v>
      </c>
      <c r="J40" s="277">
        <v>0</v>
      </c>
      <c r="K40" s="277"/>
      <c r="L40" s="270"/>
      <c r="M40" s="274" t="s">
        <v>284</v>
      </c>
      <c r="N40" s="277">
        <f>((Q27-Q11)+(P27-P11))/2</f>
        <v>119.7</v>
      </c>
      <c r="O40" s="274"/>
      <c r="P40" s="274"/>
      <c r="Q40" s="274"/>
      <c r="R40" s="270"/>
    </row>
    <row r="41" spans="1:21">
      <c r="A41" s="274"/>
      <c r="B41" s="274"/>
      <c r="C41" s="277"/>
      <c r="D41" s="277"/>
      <c r="E41" s="270"/>
      <c r="F41" s="274" t="s">
        <v>285</v>
      </c>
      <c r="G41" s="277">
        <v>0</v>
      </c>
      <c r="H41" s="277">
        <v>0</v>
      </c>
      <c r="I41" s="277">
        <v>0</v>
      </c>
      <c r="J41" s="277">
        <v>0</v>
      </c>
      <c r="K41" s="277"/>
      <c r="L41" s="270"/>
      <c r="R41" s="270"/>
    </row>
    <row r="42" spans="1:21" ht="15">
      <c r="A42" s="274"/>
      <c r="B42" s="274"/>
      <c r="C42" s="274"/>
      <c r="D42" s="274"/>
      <c r="E42" s="270"/>
      <c r="F42" s="272" t="s">
        <v>286</v>
      </c>
      <c r="G42" s="303">
        <v>0</v>
      </c>
      <c r="H42" s="303">
        <v>0</v>
      </c>
      <c r="I42" s="303">
        <f>I14</f>
        <v>21.000000000000021</v>
      </c>
      <c r="J42" s="303">
        <f>J14</f>
        <v>35.999999999999943</v>
      </c>
      <c r="K42" s="303"/>
      <c r="L42" s="270"/>
      <c r="R42" s="270"/>
    </row>
    <row r="43" spans="1:21" ht="15">
      <c r="A43" s="298"/>
      <c r="B43" s="299"/>
      <c r="C43" s="299"/>
      <c r="D43" s="299"/>
      <c r="E43" s="270"/>
      <c r="F43" s="279" t="s">
        <v>154</v>
      </c>
      <c r="G43" s="292" t="str">
        <f t="shared" ref="G43:I43" si="5">IFERROR(G42/G$3,"")</f>
        <v/>
      </c>
      <c r="H43" s="292" t="str">
        <f t="shared" si="5"/>
        <v/>
      </c>
      <c r="I43" s="292">
        <f t="shared" si="5"/>
        <v>1.6255128105890564E-2</v>
      </c>
      <c r="J43" s="292">
        <f>IFERROR(J42/J$3,"")</f>
        <v>2.477291494632531E-2</v>
      </c>
      <c r="K43" s="292"/>
      <c r="L43" s="270"/>
      <c r="M43" s="367"/>
      <c r="R43" s="270"/>
    </row>
    <row r="44" spans="1:21">
      <c r="A44" s="274"/>
      <c r="B44" s="274"/>
      <c r="C44" s="291"/>
      <c r="D44" s="304"/>
      <c r="E44" s="270"/>
      <c r="F44" s="274"/>
      <c r="G44" s="274"/>
      <c r="H44" s="274"/>
      <c r="I44" s="274"/>
      <c r="J44" s="274"/>
      <c r="K44" s="274"/>
      <c r="L44" s="270"/>
      <c r="R44" s="270"/>
    </row>
    <row r="45" spans="1:21">
      <c r="A45" s="274"/>
      <c r="B45" s="274"/>
      <c r="C45" s="291"/>
      <c r="D45" s="304"/>
      <c r="E45" s="270"/>
      <c r="F45" s="274" t="s">
        <v>287</v>
      </c>
      <c r="G45" s="305">
        <v>0</v>
      </c>
      <c r="H45" s="305">
        <v>0</v>
      </c>
      <c r="I45" s="305">
        <v>0</v>
      </c>
      <c r="J45" s="305">
        <v>0</v>
      </c>
      <c r="K45" s="305"/>
      <c r="L45" s="270"/>
      <c r="R45" s="270"/>
    </row>
    <row r="46" spans="1:21" ht="15" customHeight="1">
      <c r="A46" s="270"/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</row>
    <row r="47" spans="1:21" ht="15" customHeight="1"/>
    <row r="48" spans="1:21">
      <c r="A48" s="274"/>
      <c r="B48" s="274"/>
      <c r="C48" s="291"/>
      <c r="D48" s="306"/>
      <c r="F48" s="274"/>
      <c r="G48" s="274"/>
      <c r="H48" s="274"/>
      <c r="I48" s="274"/>
      <c r="J48" s="274"/>
      <c r="K48" s="274"/>
      <c r="M48" s="274"/>
      <c r="N48" s="274"/>
      <c r="O48" s="274"/>
      <c r="P48" s="274"/>
      <c r="Q48" s="274"/>
      <c r="R48" s="274"/>
      <c r="S48" s="274"/>
      <c r="T48" s="274"/>
      <c r="U48" s="274"/>
    </row>
    <row r="49" spans="1:21">
      <c r="A49" s="274"/>
      <c r="B49" s="274"/>
      <c r="C49" s="291"/>
      <c r="D49" s="306"/>
      <c r="F49" s="274"/>
      <c r="G49" s="274"/>
      <c r="H49" s="274"/>
      <c r="I49" s="274"/>
      <c r="J49" s="274"/>
      <c r="K49" s="274"/>
      <c r="M49" s="274"/>
      <c r="N49" s="274"/>
      <c r="O49" s="274"/>
      <c r="P49" s="274"/>
      <c r="Q49" s="274"/>
      <c r="R49" s="274"/>
      <c r="S49" s="274"/>
      <c r="T49" s="274"/>
      <c r="U49" s="274"/>
    </row>
    <row r="50" spans="1:21">
      <c r="A50" s="274"/>
      <c r="B50" s="274"/>
      <c r="C50" s="274"/>
      <c r="D50" s="274"/>
      <c r="F50" s="274"/>
      <c r="G50" s="274"/>
      <c r="H50" s="274"/>
      <c r="I50" s="274"/>
      <c r="J50" s="274"/>
      <c r="K50" s="274"/>
      <c r="M50" s="274"/>
      <c r="N50" s="274"/>
      <c r="O50" s="274"/>
      <c r="P50" s="274"/>
      <c r="Q50" s="274"/>
      <c r="R50" s="274"/>
      <c r="S50" s="274"/>
      <c r="T50" s="274"/>
      <c r="U50" s="274"/>
    </row>
    <row r="51" spans="1:21" ht="15">
      <c r="A51" s="298"/>
      <c r="B51" s="299"/>
      <c r="C51" s="299"/>
      <c r="D51" s="299"/>
      <c r="F51" s="274"/>
      <c r="G51" s="274"/>
      <c r="H51" s="274"/>
      <c r="I51" s="274"/>
      <c r="J51" s="274"/>
      <c r="K51" s="274"/>
      <c r="M51" s="274"/>
      <c r="N51" s="274"/>
      <c r="O51" s="274"/>
      <c r="P51" s="274"/>
      <c r="Q51" s="274"/>
      <c r="R51" s="274"/>
      <c r="S51" s="274"/>
      <c r="T51" s="274"/>
      <c r="U51" s="274"/>
    </row>
    <row r="52" spans="1:21" ht="15">
      <c r="A52" s="274"/>
      <c r="B52" s="273"/>
      <c r="C52" s="273"/>
      <c r="D52" s="273"/>
      <c r="F52" s="274"/>
      <c r="G52" s="274"/>
      <c r="H52" s="274"/>
      <c r="I52" s="274"/>
      <c r="J52" s="274"/>
      <c r="K52" s="274"/>
      <c r="M52" s="274"/>
      <c r="N52" s="274"/>
      <c r="O52" s="274"/>
      <c r="P52" s="274"/>
      <c r="Q52" s="274"/>
      <c r="R52" s="274"/>
      <c r="S52" s="274"/>
      <c r="T52" s="274"/>
      <c r="U52" s="274"/>
    </row>
    <row r="53" spans="1:21" ht="15">
      <c r="A53" s="272"/>
      <c r="B53" s="274"/>
      <c r="C53" s="274"/>
      <c r="D53" s="274"/>
      <c r="F53" s="274"/>
      <c r="G53" s="274"/>
      <c r="H53" s="274"/>
      <c r="I53" s="274"/>
      <c r="J53" s="274"/>
      <c r="K53" s="274"/>
      <c r="M53" s="274"/>
      <c r="N53" s="274"/>
      <c r="O53" s="274"/>
      <c r="P53" s="274"/>
      <c r="Q53" s="274"/>
      <c r="R53" s="274"/>
      <c r="S53" s="274"/>
      <c r="T53" s="274"/>
      <c r="U53" s="274"/>
    </row>
    <row r="54" spans="1:21">
      <c r="A54" s="274"/>
      <c r="B54" s="301"/>
      <c r="C54" s="174"/>
      <c r="D54" s="174"/>
      <c r="F54" s="274"/>
      <c r="G54" s="274"/>
      <c r="H54" s="274"/>
      <c r="I54" s="274"/>
      <c r="J54" s="274"/>
      <c r="K54" s="274"/>
      <c r="M54" s="274"/>
      <c r="N54" s="274"/>
      <c r="O54" s="274"/>
      <c r="P54" s="274"/>
      <c r="Q54" s="274"/>
      <c r="R54" s="274"/>
      <c r="S54" s="274"/>
      <c r="T54" s="274"/>
      <c r="U54" s="274"/>
    </row>
    <row r="55" spans="1:21">
      <c r="A55" s="274"/>
      <c r="B55" s="301"/>
      <c r="C55" s="306"/>
      <c r="D55" s="306"/>
      <c r="F55" s="274"/>
      <c r="G55" s="274"/>
      <c r="H55" s="274"/>
      <c r="I55" s="274"/>
      <c r="J55" s="274"/>
      <c r="K55" s="274"/>
      <c r="L55" s="299"/>
      <c r="M55" s="274"/>
      <c r="N55" s="274"/>
      <c r="O55" s="274"/>
      <c r="P55" s="274"/>
      <c r="Q55" s="274"/>
      <c r="R55" s="274"/>
      <c r="S55" s="274"/>
      <c r="T55" s="274"/>
      <c r="U55" s="274"/>
    </row>
    <row r="56" spans="1:21" ht="15">
      <c r="A56" s="272"/>
      <c r="B56" s="306"/>
      <c r="C56" s="306"/>
      <c r="D56" s="306"/>
      <c r="F56" s="274"/>
      <c r="G56" s="274"/>
      <c r="H56" s="274"/>
      <c r="I56" s="274"/>
      <c r="J56" s="274"/>
      <c r="K56" s="274"/>
      <c r="M56" s="274"/>
      <c r="N56" s="274"/>
      <c r="O56" s="274"/>
      <c r="P56" s="274"/>
      <c r="Q56" s="274"/>
      <c r="R56" s="274"/>
      <c r="S56" s="274"/>
      <c r="T56" s="274"/>
      <c r="U56" s="274"/>
    </row>
    <row r="57" spans="1:21">
      <c r="A57" s="274"/>
      <c r="B57" s="306"/>
      <c r="C57" s="306"/>
      <c r="D57" s="306"/>
      <c r="F57" s="274"/>
      <c r="G57" s="274"/>
      <c r="H57" s="274"/>
      <c r="I57" s="274"/>
      <c r="J57" s="274"/>
      <c r="K57" s="274"/>
      <c r="M57" s="274"/>
      <c r="N57" s="274"/>
      <c r="O57" s="274"/>
      <c r="P57" s="274"/>
      <c r="Q57" s="274"/>
      <c r="R57" s="274"/>
      <c r="S57" s="274"/>
      <c r="T57" s="274"/>
      <c r="U57" s="274"/>
    </row>
    <row r="58" spans="1:21">
      <c r="A58" s="274"/>
      <c r="B58" s="306"/>
      <c r="C58" s="306"/>
      <c r="D58" s="306"/>
      <c r="F58" s="274"/>
      <c r="G58" s="274"/>
      <c r="H58" s="274"/>
      <c r="I58" s="274"/>
      <c r="J58" s="274"/>
      <c r="K58" s="274"/>
      <c r="M58" s="274"/>
      <c r="N58" s="274"/>
      <c r="O58" s="274"/>
      <c r="P58" s="274"/>
      <c r="Q58" s="274"/>
      <c r="R58" s="274"/>
      <c r="S58" s="274"/>
      <c r="T58" s="274"/>
      <c r="U58" s="274"/>
    </row>
    <row r="59" spans="1:21">
      <c r="A59" s="274"/>
      <c r="B59" s="306"/>
      <c r="C59" s="306"/>
      <c r="D59" s="306"/>
      <c r="F59" s="274"/>
      <c r="G59" s="274"/>
      <c r="H59" s="274"/>
      <c r="I59" s="274"/>
      <c r="J59" s="274"/>
      <c r="K59" s="274"/>
      <c r="M59" s="274"/>
      <c r="N59" s="274"/>
      <c r="O59" s="274"/>
      <c r="P59" s="274"/>
      <c r="Q59" s="274"/>
      <c r="R59" s="274"/>
      <c r="S59" s="274"/>
      <c r="T59" s="274"/>
      <c r="U59" s="274"/>
    </row>
    <row r="60" spans="1:21">
      <c r="A60" s="274"/>
      <c r="B60" s="274"/>
      <c r="C60" s="274"/>
      <c r="D60" s="274"/>
      <c r="F60" s="274"/>
      <c r="G60" s="274"/>
      <c r="H60" s="274"/>
      <c r="I60" s="274"/>
      <c r="J60" s="274"/>
      <c r="K60" s="274"/>
      <c r="M60" s="274"/>
      <c r="N60" s="274"/>
      <c r="O60" s="274"/>
      <c r="P60" s="274"/>
      <c r="Q60" s="274"/>
      <c r="R60" s="274"/>
      <c r="S60" s="274"/>
      <c r="T60" s="274"/>
      <c r="U60" s="274"/>
    </row>
    <row r="61" spans="1:21">
      <c r="A61" s="274"/>
      <c r="B61" s="274"/>
      <c r="C61" s="274"/>
      <c r="D61" s="274"/>
      <c r="F61" s="274"/>
      <c r="G61" s="274"/>
      <c r="H61" s="274"/>
      <c r="I61" s="274"/>
      <c r="J61" s="274"/>
      <c r="K61" s="274"/>
      <c r="M61" s="274"/>
      <c r="N61" s="274"/>
      <c r="O61" s="274"/>
      <c r="P61" s="274"/>
      <c r="Q61" s="274"/>
      <c r="R61" s="274"/>
      <c r="S61" s="274"/>
      <c r="T61" s="274"/>
      <c r="U61" s="274"/>
    </row>
    <row r="62" spans="1:21">
      <c r="A62" s="274"/>
      <c r="B62" s="274"/>
      <c r="C62" s="274"/>
      <c r="D62" s="274"/>
      <c r="F62" s="274"/>
      <c r="G62" s="274"/>
      <c r="H62" s="274"/>
      <c r="I62" s="274"/>
      <c r="J62" s="274"/>
      <c r="K62" s="274"/>
      <c r="M62" s="274"/>
      <c r="N62" s="274"/>
      <c r="O62" s="274"/>
      <c r="P62" s="274"/>
      <c r="Q62" s="274"/>
      <c r="R62" s="274"/>
      <c r="S62" s="274"/>
      <c r="T62" s="274"/>
      <c r="U62" s="274"/>
    </row>
    <row r="63" spans="1:21">
      <c r="A63" s="274"/>
      <c r="B63" s="274"/>
      <c r="C63" s="274"/>
      <c r="D63" s="274"/>
      <c r="F63" s="274"/>
      <c r="G63" s="274"/>
      <c r="H63" s="274"/>
      <c r="I63" s="274"/>
      <c r="J63" s="274"/>
      <c r="K63" s="274"/>
      <c r="M63" s="274"/>
      <c r="N63" s="274"/>
      <c r="O63" s="274"/>
      <c r="P63" s="274"/>
      <c r="Q63" s="274"/>
      <c r="R63" s="274"/>
      <c r="S63" s="274"/>
      <c r="T63" s="274"/>
      <c r="U63" s="274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M69"/>
  <sheetViews>
    <sheetView workbookViewId="0">
      <selection activeCell="F19" sqref="F19"/>
    </sheetView>
  </sheetViews>
  <sheetFormatPr defaultColWidth="8.85546875" defaultRowHeight="15"/>
  <cols>
    <col min="1" max="1" width="10.140625" bestFit="1" customWidth="1"/>
  </cols>
  <sheetData>
    <row r="1" spans="1:13">
      <c r="A1" s="474" t="s">
        <v>395</v>
      </c>
      <c r="B1" t="str">
        <f>'Cost of Equity'!I38</f>
        <v>Rm-Rf</v>
      </c>
      <c r="C1" t="str">
        <f>'Cost of Equity'!AH38</f>
        <v>LN(Deutz)</v>
      </c>
    </row>
    <row r="2" spans="1:13">
      <c r="A2" s="474">
        <f>'Cost of Equity'!A40</f>
        <v>39871</v>
      </c>
      <c r="B2">
        <f>'Cost of Equity'!I40</f>
        <v>-0.26230240111670883</v>
      </c>
      <c r="C2" t="e">
        <f>'Cost of Equity'!#REF!</f>
        <v>#REF!</v>
      </c>
      <c r="E2" s="473" t="s">
        <v>346</v>
      </c>
      <c r="F2" s="473"/>
      <c r="G2" s="473"/>
      <c r="H2" s="473"/>
      <c r="I2" s="473"/>
      <c r="J2" s="473"/>
      <c r="K2" s="473"/>
      <c r="L2" s="473"/>
      <c r="M2" s="473"/>
    </row>
    <row r="3" spans="1:13" ht="15.75" thickBot="1">
      <c r="A3" s="474">
        <f>'Cost of Equity'!A41</f>
        <v>39903</v>
      </c>
      <c r="B3" s="473">
        <f>'Cost of Equity'!I41</f>
        <v>0.11932924807946083</v>
      </c>
      <c r="C3" s="473">
        <f>'Cost of Equity'!AI40</f>
        <v>0.18749861389479835</v>
      </c>
      <c r="E3" s="473"/>
      <c r="F3" s="473"/>
      <c r="G3" s="473"/>
      <c r="H3" s="473"/>
      <c r="I3" s="473"/>
      <c r="J3" s="473"/>
      <c r="K3" s="473"/>
      <c r="L3" s="473"/>
      <c r="M3" s="473"/>
    </row>
    <row r="4" spans="1:13">
      <c r="A4" s="474">
        <f>'Cost of Equity'!A42</f>
        <v>39933</v>
      </c>
      <c r="B4" s="473">
        <f>'Cost of Equity'!I42</f>
        <v>0.18059434241407943</v>
      </c>
      <c r="C4" s="473">
        <f>'Cost of Equity'!AI41</f>
        <v>0.32312700987119242</v>
      </c>
      <c r="E4" s="445" t="s">
        <v>347</v>
      </c>
      <c r="F4" s="445"/>
      <c r="G4" s="473"/>
      <c r="H4" s="473"/>
      <c r="I4" s="473"/>
      <c r="J4" s="473"/>
      <c r="K4" s="473"/>
      <c r="L4" s="473"/>
      <c r="M4" s="473"/>
    </row>
    <row r="5" spans="1:13">
      <c r="A5" s="474">
        <f>'Cost of Equity'!A43</f>
        <v>39962</v>
      </c>
      <c r="B5" s="473">
        <f>'Cost of Equity'!I43</f>
        <v>4.0771176666554824E-2</v>
      </c>
      <c r="C5" s="473">
        <f>'Cost of Equity'!AI42</f>
        <v>-3.2360862218221438E-2</v>
      </c>
      <c r="E5" s="442" t="s">
        <v>348</v>
      </c>
      <c r="F5" s="442">
        <v>0.45035215849801585</v>
      </c>
      <c r="G5" s="473"/>
      <c r="H5" s="473"/>
      <c r="I5" s="473"/>
      <c r="J5" s="473"/>
      <c r="K5" s="473"/>
      <c r="L5" s="473"/>
      <c r="M5" s="473"/>
    </row>
    <row r="6" spans="1:13">
      <c r="A6" s="474">
        <f>'Cost of Equity'!A44</f>
        <v>39993</v>
      </c>
      <c r="B6" s="473">
        <f>'Cost of Equity'!I44</f>
        <v>-2.7472191223026195E-2</v>
      </c>
      <c r="C6" s="473">
        <f>'Cost of Equity'!AI43</f>
        <v>7.2601831776732059E-2</v>
      </c>
      <c r="E6" s="442" t="s">
        <v>349</v>
      </c>
      <c r="F6" s="442">
        <v>0.20281706666382199</v>
      </c>
      <c r="G6" s="473"/>
      <c r="H6" s="473"/>
      <c r="I6" s="473"/>
      <c r="J6" s="473"/>
      <c r="K6" s="473"/>
      <c r="L6" s="473"/>
      <c r="M6" s="473"/>
    </row>
    <row r="7" spans="1:13">
      <c r="A7" s="474">
        <f>'Cost of Equity'!A45</f>
        <v>40025</v>
      </c>
      <c r="B7" s="473">
        <f>'Cost of Equity'!I45</f>
        <v>7.3848543636432631E-2</v>
      </c>
      <c r="C7" s="473">
        <f>'Cost of Equity'!AI44</f>
        <v>1.5028881596300218E-2</v>
      </c>
      <c r="E7" s="442" t="s">
        <v>350</v>
      </c>
      <c r="F7" s="442">
        <v>0.19073853737084959</v>
      </c>
      <c r="G7" s="473"/>
      <c r="H7" s="473"/>
      <c r="I7" s="473"/>
      <c r="J7" s="473"/>
      <c r="K7" s="473"/>
      <c r="L7" s="473"/>
      <c r="M7" s="473"/>
    </row>
    <row r="8" spans="1:13">
      <c r="A8" s="474">
        <f>'Cost of Equity'!A46</f>
        <v>40056</v>
      </c>
      <c r="B8" s="473">
        <f>'Cost of Equity'!I46</f>
        <v>8.0156926126597555E-2</v>
      </c>
      <c r="C8" s="473">
        <f>'Cost of Equity'!AI45</f>
        <v>3.5301927050915997E-2</v>
      </c>
      <c r="E8" s="442" t="s">
        <v>351</v>
      </c>
      <c r="F8" s="442">
        <v>0.11351877526648127</v>
      </c>
      <c r="G8" s="473"/>
      <c r="H8" s="473"/>
      <c r="I8" s="473"/>
      <c r="J8" s="473"/>
      <c r="K8" s="473"/>
      <c r="L8" s="473"/>
      <c r="M8" s="473"/>
    </row>
    <row r="9" spans="1:13" ht="15.75" thickBot="1">
      <c r="A9" s="474">
        <f>'Cost of Equity'!A47</f>
        <v>40086</v>
      </c>
      <c r="B9" s="473">
        <f>'Cost of Equity'!I47</f>
        <v>9.0250987694882184E-2</v>
      </c>
      <c r="C9" s="473">
        <f>'Cost of Equity'!AI46</f>
        <v>-1E-4</v>
      </c>
      <c r="E9" s="443" t="s">
        <v>352</v>
      </c>
      <c r="F9" s="443">
        <v>68</v>
      </c>
      <c r="G9" s="473"/>
      <c r="H9" s="473"/>
      <c r="I9" s="473"/>
      <c r="J9" s="473"/>
      <c r="K9" s="473"/>
      <c r="L9" s="473"/>
      <c r="M9" s="473"/>
    </row>
    <row r="10" spans="1:13">
      <c r="A10" s="474">
        <f>'Cost of Equity'!A48</f>
        <v>40116</v>
      </c>
      <c r="B10" s="473">
        <f>'Cost of Equity'!I48</f>
        <v>-8.9077510158436929E-2</v>
      </c>
      <c r="C10" s="473">
        <f>'Cost of Equity'!AI47</f>
        <v>-8.47426431540792E-2</v>
      </c>
      <c r="E10" s="473"/>
      <c r="F10" s="473"/>
      <c r="G10" s="473"/>
      <c r="H10" s="473"/>
      <c r="I10" s="473"/>
      <c r="J10" s="473"/>
      <c r="K10" s="473"/>
      <c r="L10" s="473"/>
      <c r="M10" s="473"/>
    </row>
    <row r="11" spans="1:13" ht="15.75" thickBot="1">
      <c r="A11" s="474">
        <f>'Cost of Equity'!A49</f>
        <v>40147</v>
      </c>
      <c r="B11" s="473">
        <f>'Cost of Equity'!I49</f>
        <v>5.31107012224405E-2</v>
      </c>
      <c r="C11" s="473">
        <f>'Cost of Equity'!AI48</f>
        <v>-4.1974072471058888E-2</v>
      </c>
      <c r="E11" s="473" t="s">
        <v>353</v>
      </c>
      <c r="F11" s="473"/>
      <c r="G11" s="473"/>
      <c r="H11" s="473"/>
      <c r="I11" s="473"/>
      <c r="J11" s="473"/>
      <c r="K11" s="473"/>
      <c r="L11" s="473"/>
      <c r="M11" s="473"/>
    </row>
    <row r="12" spans="1:13">
      <c r="A12" s="474">
        <f>'Cost of Equity'!A50</f>
        <v>40178</v>
      </c>
      <c r="B12" s="473">
        <f>'Cost of Equity'!I50</f>
        <v>9.192964004899723E-2</v>
      </c>
      <c r="C12" s="473">
        <f>'Cost of Equity'!AI49</f>
        <v>9.998345855698243E-2</v>
      </c>
      <c r="E12" s="444"/>
      <c r="F12" s="444" t="s">
        <v>354</v>
      </c>
      <c r="G12" s="444" t="s">
        <v>355</v>
      </c>
      <c r="H12" s="444" t="s">
        <v>356</v>
      </c>
      <c r="I12" s="444" t="s">
        <v>357</v>
      </c>
      <c r="J12" s="444" t="s">
        <v>358</v>
      </c>
      <c r="K12" s="473"/>
      <c r="L12" s="473"/>
      <c r="M12" s="473"/>
    </row>
    <row r="13" spans="1:13">
      <c r="A13" s="474">
        <f>'Cost of Equity'!A51</f>
        <v>40207</v>
      </c>
      <c r="B13" s="473">
        <f>'Cost of Equity'!I51</f>
        <v>-4.2884783188096215E-2</v>
      </c>
      <c r="C13" s="473">
        <f>'Cost of Equity'!AI50</f>
        <v>-3.0806281381377892E-3</v>
      </c>
      <c r="E13" s="442" t="s">
        <v>359</v>
      </c>
      <c r="F13" s="442">
        <v>1</v>
      </c>
      <c r="G13" s="442">
        <v>0.21638434353438674</v>
      </c>
      <c r="H13" s="442">
        <v>0.21638434353438674</v>
      </c>
      <c r="I13" s="442">
        <v>16.791536597243365</v>
      </c>
      <c r="J13" s="442">
        <v>1.1643715656831254E-4</v>
      </c>
      <c r="K13" s="473"/>
      <c r="L13" s="473"/>
      <c r="M13" s="473"/>
    </row>
    <row r="14" spans="1:13">
      <c r="A14" s="474">
        <f>'Cost of Equity'!A52</f>
        <v>40235</v>
      </c>
      <c r="B14" s="473">
        <f>'Cost of Equity'!I52</f>
        <v>3.6905313920108929E-2</v>
      </c>
      <c r="C14" s="473">
        <f>'Cost of Equity'!AI51</f>
        <v>3.2208243232657828E-2</v>
      </c>
      <c r="E14" s="442" t="s">
        <v>360</v>
      </c>
      <c r="F14" s="442">
        <v>66</v>
      </c>
      <c r="G14" s="442">
        <v>0.85050981430812411</v>
      </c>
      <c r="H14" s="442">
        <v>1.2886512338001881E-2</v>
      </c>
      <c r="I14" s="442"/>
      <c r="J14" s="442"/>
      <c r="K14" s="473"/>
      <c r="L14" s="473"/>
      <c r="M14" s="473"/>
    </row>
    <row r="15" spans="1:13" ht="15.75" thickBot="1">
      <c r="A15" s="474">
        <f>'Cost of Equity'!A53</f>
        <v>40268</v>
      </c>
      <c r="B15" s="473">
        <f>'Cost of Equity'!I53</f>
        <v>6.4415505968756781E-2</v>
      </c>
      <c r="C15" s="473">
        <f>'Cost of Equity'!AI52</f>
        <v>0.21724643362988386</v>
      </c>
      <c r="E15" s="443" t="s">
        <v>81</v>
      </c>
      <c r="F15" s="443">
        <v>67</v>
      </c>
      <c r="G15" s="443">
        <v>1.0668941578425108</v>
      </c>
      <c r="H15" s="443"/>
      <c r="I15" s="443"/>
      <c r="J15" s="443"/>
      <c r="K15" s="473"/>
      <c r="L15" s="473"/>
      <c r="M15" s="473"/>
    </row>
    <row r="16" spans="1:13" ht="15.75" thickBot="1">
      <c r="A16" s="474">
        <f>'Cost of Equity'!A54</f>
        <v>40298</v>
      </c>
      <c r="B16" s="473">
        <f>'Cost of Equity'!I54</f>
        <v>-4.5255191984708149E-2</v>
      </c>
      <c r="C16" s="473">
        <f>'Cost of Equity'!AI53</f>
        <v>-1E-4</v>
      </c>
      <c r="E16" s="473"/>
      <c r="F16" s="473"/>
      <c r="G16" s="473"/>
      <c r="H16" s="473"/>
      <c r="I16" s="473"/>
      <c r="J16" s="473"/>
      <c r="K16" s="473"/>
      <c r="L16" s="473"/>
      <c r="M16" s="473"/>
    </row>
    <row r="17" spans="1:13">
      <c r="A17" s="474">
        <f>'Cost of Equity'!A55</f>
        <v>40329</v>
      </c>
      <c r="B17" s="473">
        <f>'Cost of Equity'!I55</f>
        <v>2.9755833186030169E-2</v>
      </c>
      <c r="C17" s="473">
        <f>'Cost of Equity'!AI54</f>
        <v>1.6047986407982159E-2</v>
      </c>
      <c r="E17" s="444"/>
      <c r="F17" s="444" t="s">
        <v>361</v>
      </c>
      <c r="G17" s="444" t="s">
        <v>351</v>
      </c>
      <c r="H17" s="444" t="s">
        <v>362</v>
      </c>
      <c r="I17" s="444" t="s">
        <v>363</v>
      </c>
      <c r="J17" s="444" t="s">
        <v>364</v>
      </c>
      <c r="K17" s="444" t="s">
        <v>365</v>
      </c>
      <c r="L17" s="444" t="s">
        <v>366</v>
      </c>
      <c r="M17" s="444" t="s">
        <v>367</v>
      </c>
    </row>
    <row r="18" spans="1:13">
      <c r="A18" s="474">
        <f>'Cost of Equity'!A56</f>
        <v>40359</v>
      </c>
      <c r="B18" s="473">
        <f>'Cost of Equity'!I56</f>
        <v>-3.7709955017587601E-2</v>
      </c>
      <c r="C18" s="473">
        <f>'Cost of Equity'!AI55</f>
        <v>-6.8766020691428467E-2</v>
      </c>
      <c r="E18" s="442" t="s">
        <v>368</v>
      </c>
      <c r="F18" s="442">
        <v>-6.9322198344165878E-5</v>
      </c>
      <c r="G18" s="442">
        <v>1.4151736838750206E-2</v>
      </c>
      <c r="H18" s="442">
        <v>-4.8984940247297579E-3</v>
      </c>
      <c r="I18" s="442">
        <v>0.99610635915548906</v>
      </c>
      <c r="J18" s="442">
        <v>-2.8324176436969502E-2</v>
      </c>
      <c r="K18" s="442">
        <v>2.8185532040281167E-2</v>
      </c>
      <c r="L18" s="442">
        <v>-2.8324176436969502E-2</v>
      </c>
      <c r="M18" s="442">
        <v>2.8185532040281167E-2</v>
      </c>
    </row>
    <row r="19" spans="1:13" ht="15.75" thickBot="1">
      <c r="A19" s="474">
        <f>'Cost of Equity'!A57</f>
        <v>40389</v>
      </c>
      <c r="B19" s="473">
        <f>'Cost of Equity'!I57</f>
        <v>9.0006769907380491E-2</v>
      </c>
      <c r="C19" s="473">
        <f>'Cost of Equity'!AI56</f>
        <v>0.1392355940421178</v>
      </c>
      <c r="E19" s="443" t="s">
        <v>369</v>
      </c>
      <c r="F19" s="443">
        <v>0.85793273031627493</v>
      </c>
      <c r="G19" s="443">
        <v>0.20936689696548988</v>
      </c>
      <c r="H19" s="443">
        <v>4.0977477469023613</v>
      </c>
      <c r="I19" s="443">
        <v>1.1643715656831162E-4</v>
      </c>
      <c r="J19" s="443">
        <v>0.43991823332852303</v>
      </c>
      <c r="K19" s="443">
        <v>1.2759472273040269</v>
      </c>
      <c r="L19" s="443">
        <v>0.43991823332852303</v>
      </c>
      <c r="M19" s="443">
        <v>1.2759472273040269</v>
      </c>
    </row>
    <row r="20" spans="1:13">
      <c r="A20" s="474">
        <f>'Cost of Equity'!A58</f>
        <v>40421</v>
      </c>
      <c r="B20" s="473">
        <f>'Cost of Equity'!I58</f>
        <v>-1.2385438013695058E-2</v>
      </c>
      <c r="C20" s="473">
        <f>'Cost of Equity'!AI57</f>
        <v>-2.234472528632792E-3</v>
      </c>
    </row>
    <row r="21" spans="1:13">
      <c r="A21" s="474">
        <f>'Cost of Equity'!A59</f>
        <v>40451</v>
      </c>
      <c r="B21" s="473">
        <f>'Cost of Equity'!I59</f>
        <v>2.8220625252513353E-2</v>
      </c>
      <c r="C21" s="473">
        <f>'Cost of Equity'!AI58</f>
        <v>0.13369845097835978</v>
      </c>
    </row>
    <row r="22" spans="1:13">
      <c r="A22" s="474">
        <f>'Cost of Equity'!A60</f>
        <v>40480</v>
      </c>
      <c r="B22" s="473">
        <f>'Cost of Equity'!I60</f>
        <v>7.6210499520714528E-2</v>
      </c>
      <c r="C22" s="473">
        <f>'Cost of Equity'!AI59</f>
        <v>0.13925552091051155</v>
      </c>
    </row>
    <row r="23" spans="1:13">
      <c r="A23" s="474">
        <f>'Cost of Equity'!A61</f>
        <v>40512</v>
      </c>
      <c r="B23" s="473">
        <f>'Cost of Equity'!I61</f>
        <v>3.7718481345441021E-2</v>
      </c>
      <c r="C23" s="473">
        <f>'Cost of Equity'!AI60</f>
        <v>-0.11180398958000129</v>
      </c>
    </row>
    <row r="24" spans="1:13">
      <c r="A24" s="474">
        <f>'Cost of Equity'!A62</f>
        <v>40542</v>
      </c>
      <c r="B24" s="473">
        <f>'Cost of Equity'!I62</f>
        <v>4.191767668993418E-2</v>
      </c>
      <c r="C24" s="473">
        <f>'Cost of Equity'!AI61</f>
        <v>0.11970119981262058</v>
      </c>
    </row>
    <row r="25" spans="1:13">
      <c r="A25" s="474">
        <f>'Cost of Equity'!A63</f>
        <v>40574</v>
      </c>
      <c r="B25" s="473">
        <f>'Cost of Equity'!I63</f>
        <v>6.109740027209546E-3</v>
      </c>
      <c r="C25" s="473">
        <f>'Cost of Equity'!AI62</f>
        <v>-2.2939491969822902E-2</v>
      </c>
    </row>
    <row r="26" spans="1:13">
      <c r="A26" s="474">
        <f>'Cost of Equity'!A64</f>
        <v>40602</v>
      </c>
      <c r="B26" s="473">
        <f>'Cost of Equity'!I64</f>
        <v>-5.906995464956607E-3</v>
      </c>
      <c r="C26" s="473">
        <f>'Cost of Equity'!AI63</f>
        <v>-2.8553802417727696E-2</v>
      </c>
    </row>
    <row r="27" spans="1:13">
      <c r="A27" s="474">
        <f>'Cost of Equity'!A65</f>
        <v>40633</v>
      </c>
      <c r="B27" s="473">
        <f>'Cost of Equity'!I65</f>
        <v>3.6587829621655139E-2</v>
      </c>
      <c r="C27" s="473">
        <f>'Cost of Equity'!AI64</f>
        <v>1.5963532481785554E-3</v>
      </c>
    </row>
    <row r="28" spans="1:13">
      <c r="A28" s="474">
        <f>'Cost of Equity'!A66</f>
        <v>40662</v>
      </c>
      <c r="B28" s="473">
        <f>'Cost of Equity'!I66</f>
        <v>1.7662856365521975E-2</v>
      </c>
      <c r="C28" s="473">
        <f>'Cost of Equity'!AI65</f>
        <v>3.8142399036446208E-2</v>
      </c>
    </row>
    <row r="29" spans="1:13">
      <c r="A29" s="474">
        <f>'Cost of Equity'!A67</f>
        <v>40694</v>
      </c>
      <c r="B29" s="473">
        <f>'Cost of Equity'!I67</f>
        <v>-6.7814977665773338E-3</v>
      </c>
      <c r="C29" s="473">
        <f>'Cost of Equity'!AI66</f>
        <v>0.10802992363457875</v>
      </c>
    </row>
    <row r="30" spans="1:13">
      <c r="A30" s="474">
        <f>'Cost of Equity'!A68</f>
        <v>40724</v>
      </c>
      <c r="B30" s="473">
        <f>'Cost of Equity'!I68</f>
        <v>3.7308061621481516E-2</v>
      </c>
      <c r="C30" s="473">
        <f>'Cost of Equity'!AI67</f>
        <v>-1.188216869826024E-2</v>
      </c>
    </row>
    <row r="31" spans="1:13">
      <c r="A31" s="474">
        <f>'Cost of Equity'!A69</f>
        <v>40753</v>
      </c>
      <c r="B31" s="473">
        <f>'Cost of Equity'!I69</f>
        <v>-0.10764252622975069</v>
      </c>
      <c r="C31" s="473">
        <f>'Cost of Equity'!AI68</f>
        <v>-1.052451733588409E-2</v>
      </c>
    </row>
    <row r="32" spans="1:13">
      <c r="A32" s="474">
        <f>'Cost of Equity'!A70</f>
        <v>40786</v>
      </c>
      <c r="B32" s="473">
        <f>'Cost of Equity'!I70</f>
        <v>-0.1193717901832561</v>
      </c>
      <c r="C32" s="473">
        <f>'Cost of Equity'!AI69</f>
        <v>-0.36882328245490675</v>
      </c>
    </row>
    <row r="33" spans="1:3">
      <c r="A33" s="474">
        <f>'Cost of Equity'!A71</f>
        <v>40816</v>
      </c>
      <c r="B33" s="473">
        <f>'Cost of Equity'!I71</f>
        <v>-0.12714417548482571</v>
      </c>
      <c r="C33" s="473">
        <f>'Cost of Equity'!AI70</f>
        <v>-0.10738637085104048</v>
      </c>
    </row>
    <row r="34" spans="1:3">
      <c r="A34" s="474">
        <f>'Cost of Equity'!A72</f>
        <v>40847</v>
      </c>
      <c r="B34" s="473">
        <f>'Cost of Equity'!I72</f>
        <v>0.12897549144580359</v>
      </c>
      <c r="C34" s="473">
        <f>'Cost of Equity'!AI71</f>
        <v>8.0869062533667088E-2</v>
      </c>
    </row>
    <row r="35" spans="1:3">
      <c r="A35" s="474">
        <f>'Cost of Equity'!A73</f>
        <v>40877</v>
      </c>
      <c r="B35" s="473">
        <f>'Cost of Equity'!I73</f>
        <v>1.4660432128842812E-2</v>
      </c>
      <c r="C35" s="473">
        <f>'Cost of Equity'!AI72</f>
        <v>-0.13046181786324357</v>
      </c>
    </row>
    <row r="36" spans="1:3">
      <c r="A36" s="474">
        <f>'Cost of Equity'!A74</f>
        <v>40907</v>
      </c>
      <c r="B36" s="473">
        <f>'Cost of Equity'!I74</f>
        <v>2.6464672792487126E-2</v>
      </c>
      <c r="C36" s="473">
        <f>'Cost of Equity'!AI73</f>
        <v>3.228140950303978E-2</v>
      </c>
    </row>
    <row r="37" spans="1:3">
      <c r="A37" s="474">
        <f>'Cost of Equity'!A75</f>
        <v>40939</v>
      </c>
      <c r="B37" s="473">
        <f>'Cost of Equity'!I75</f>
        <v>0.10111969421754195</v>
      </c>
      <c r="C37" s="473">
        <f>'Cost of Equity'!AI74</f>
        <v>0.23085609105100338</v>
      </c>
    </row>
    <row r="38" spans="1:3">
      <c r="A38" s="474">
        <f>'Cost of Equity'!A76</f>
        <v>40968</v>
      </c>
      <c r="B38" s="473">
        <f>'Cost of Equity'!I76</f>
        <v>2.8634669317603209E-2</v>
      </c>
      <c r="C38" s="473">
        <f>'Cost of Equity'!AI75</f>
        <v>5.1096013391316447E-2</v>
      </c>
    </row>
    <row r="39" spans="1:3">
      <c r="A39" s="474">
        <f>'Cost of Equity'!A77</f>
        <v>40998</v>
      </c>
      <c r="B39" s="473">
        <f>'Cost of Equity'!I77</f>
        <v>3.2027645227529433E-2</v>
      </c>
      <c r="C39" s="473">
        <f>'Cost of Equity'!AI76</f>
        <v>-8.6943352121554102E-2</v>
      </c>
    </row>
    <row r="40" spans="1:3">
      <c r="A40" s="474">
        <f>'Cost of Equity'!A78</f>
        <v>41029</v>
      </c>
      <c r="B40" s="473">
        <f>'Cost of Equity'!I78</f>
        <v>-3.6447773864440111E-4</v>
      </c>
      <c r="C40" s="473">
        <f>'Cost of Equity'!AI77</f>
        <v>6.8086094517011336E-2</v>
      </c>
    </row>
    <row r="41" spans="1:3">
      <c r="A41" s="474">
        <f>'Cost of Equity'!A79</f>
        <v>41060</v>
      </c>
      <c r="B41" s="473">
        <f>'Cost of Equity'!I79</f>
        <v>-0.11055337625599485</v>
      </c>
      <c r="C41" s="473">
        <f>'Cost of Equity'!AI78</f>
        <v>-0.24177579944313726</v>
      </c>
    </row>
    <row r="42" spans="1:3">
      <c r="A42" s="474">
        <f>'Cost of Equity'!A80</f>
        <v>41089</v>
      </c>
      <c r="B42" s="473">
        <f>'Cost of Equity'!I80</f>
        <v>9.1237508830096084E-2</v>
      </c>
      <c r="C42" s="473">
        <f>'Cost of Equity'!AI79</f>
        <v>-4.9249941111610955E-2</v>
      </c>
    </row>
    <row r="43" spans="1:3">
      <c r="A43" s="474">
        <f>'Cost of Equity'!A81</f>
        <v>41121</v>
      </c>
      <c r="B43" s="473">
        <f>'Cost of Equity'!I81</f>
        <v>2.7180871430492761E-3</v>
      </c>
      <c r="C43" s="473">
        <f>'Cost of Equity'!AI80</f>
        <v>-0.27692601593831484</v>
      </c>
    </row>
    <row r="44" spans="1:3">
      <c r="A44" s="474">
        <f>'Cost of Equity'!A82</f>
        <v>41152</v>
      </c>
      <c r="B44" s="473">
        <f>'Cost of Equity'!I82</f>
        <v>2.0686251473629989E-2</v>
      </c>
      <c r="C44" s="473">
        <f>'Cost of Equity'!AI81</f>
        <v>-2.3630497410194046E-2</v>
      </c>
    </row>
    <row r="45" spans="1:3">
      <c r="A45" s="474">
        <f>'Cost of Equity'!A83</f>
        <v>41180</v>
      </c>
      <c r="B45" s="473">
        <f>'Cost of Equity'!I83</f>
        <v>2.2756448179806991E-2</v>
      </c>
      <c r="C45" s="473">
        <f>'Cost of Equity'!AI82</f>
        <v>0.16564501260817766</v>
      </c>
    </row>
    <row r="46" spans="1:3">
      <c r="A46" s="474">
        <f>'Cost of Equity'!A84</f>
        <v>41213</v>
      </c>
      <c r="B46" s="473">
        <f>'Cost of Equity'!I84</f>
        <v>4.1627947884372275E-2</v>
      </c>
      <c r="C46" s="473">
        <f>'Cost of Equity'!AI83</f>
        <v>-3.5294248121792812E-2</v>
      </c>
    </row>
    <row r="47" spans="1:3">
      <c r="A47" s="474">
        <f>'Cost of Equity'!A85</f>
        <v>41243</v>
      </c>
      <c r="B47" s="473">
        <f>'Cost of Equity'!I85</f>
        <v>-9.9235817793200294E-4</v>
      </c>
      <c r="C47" s="473">
        <f>'Cost of Equity'!AI84</f>
        <v>-7.4437619645832384E-2</v>
      </c>
    </row>
    <row r="48" spans="1:3">
      <c r="A48" s="474">
        <f>'Cost of Equity'!A86</f>
        <v>41271</v>
      </c>
      <c r="B48" s="473">
        <f>'Cost of Equity'!I86</f>
        <v>4.4818824384294999E-2</v>
      </c>
      <c r="C48" s="473">
        <f>'Cost of Equity'!AI85</f>
        <v>0.12089331128663172</v>
      </c>
    </row>
    <row r="49" spans="1:3">
      <c r="A49" s="474">
        <f>'Cost of Equity'!A87</f>
        <v>41305</v>
      </c>
      <c r="B49" s="473">
        <f>'Cost of Equity'!I87</f>
        <v>4.8702823965801056E-2</v>
      </c>
      <c r="C49" s="473">
        <f>'Cost of Equity'!AI86</f>
        <v>0.205221866637882</v>
      </c>
    </row>
    <row r="50" spans="1:3">
      <c r="A50" s="474">
        <f>'Cost of Equity'!A88</f>
        <v>41333</v>
      </c>
      <c r="B50" s="473">
        <f>'Cost of Equity'!I88</f>
        <v>3.8715876060754793E-2</v>
      </c>
      <c r="C50" s="473">
        <f>'Cost of Equity'!AI87</f>
        <v>1.3725104991842554E-2</v>
      </c>
    </row>
    <row r="51" spans="1:3">
      <c r="A51" s="474">
        <f>'Cost of Equity'!A89</f>
        <v>41361</v>
      </c>
      <c r="B51" s="473">
        <f>'Cost of Equity'!I89</f>
        <v>1.9326409255163875E-2</v>
      </c>
      <c r="C51" s="473">
        <f>'Cost of Equity'!AI88</f>
        <v>-7.1220009652995173E-2</v>
      </c>
    </row>
    <row r="52" spans="1:3">
      <c r="A52" s="474">
        <f>'Cost of Equity'!A90</f>
        <v>41394</v>
      </c>
      <c r="B52" s="473">
        <f>'Cost of Equity'!I90</f>
        <v>-1.1107117054501353E-3</v>
      </c>
      <c r="C52" s="473">
        <f>'Cost of Equity'!AI89</f>
        <v>-1E-4</v>
      </c>
    </row>
    <row r="53" spans="1:3">
      <c r="A53" s="474">
        <f>'Cost of Equity'!A91</f>
        <v>41425</v>
      </c>
      <c r="B53" s="473">
        <f>'Cost of Equity'!I91</f>
        <v>3.2137325733552304E-2</v>
      </c>
      <c r="C53" s="473">
        <f>'Cost of Equity'!AI90</f>
        <v>0.19967684065403371</v>
      </c>
    </row>
    <row r="54" spans="1:3">
      <c r="A54" s="474">
        <f>'Cost of Equity'!A92</f>
        <v>41453</v>
      </c>
      <c r="B54" s="473">
        <f>'Cost of Equity'!I92</f>
        <v>-1.0516787128267754E-2</v>
      </c>
      <c r="C54" s="473">
        <f>'Cost of Equity'!AI91</f>
        <v>-7.7463536613488093E-2</v>
      </c>
    </row>
    <row r="55" spans="1:3">
      <c r="A55" s="474">
        <f>'Cost of Equity'!A93</f>
        <v>41486</v>
      </c>
      <c r="B55" s="473">
        <f>'Cost of Equity'!I93</f>
        <v>5.3951972695636057E-2</v>
      </c>
      <c r="C55" s="473">
        <f>'Cost of Equity'!AI92</f>
        <v>0.12057739368274818</v>
      </c>
    </row>
    <row r="56" spans="1:3">
      <c r="A56" s="474">
        <f>'Cost of Equity'!A94</f>
        <v>41516</v>
      </c>
      <c r="B56" s="473">
        <f>'Cost of Equity'!I94</f>
        <v>4.2669776331156354E-3</v>
      </c>
      <c r="C56" s="473">
        <f>'Cost of Equity'!AI93</f>
        <v>0.26270880770664107</v>
      </c>
    </row>
    <row r="57" spans="1:3">
      <c r="A57" s="474">
        <f>'Cost of Equity'!A95</f>
        <v>41547</v>
      </c>
      <c r="B57" s="473">
        <f>'Cost of Equity'!I95</f>
        <v>3.596782037062856E-2</v>
      </c>
      <c r="C57" s="473">
        <f>'Cost of Equity'!AI94</f>
        <v>-1.954713493552155E-2</v>
      </c>
    </row>
    <row r="58" spans="1:3">
      <c r="A58" s="474">
        <f>'Cost of Equity'!A96</f>
        <v>41578</v>
      </c>
      <c r="B58" s="473">
        <f>'Cost of Equity'!I96</f>
        <v>5.2230119281132387E-2</v>
      </c>
      <c r="C58" s="473">
        <f>'Cost of Equity'!AI95</f>
        <v>4.8546289627783998E-2</v>
      </c>
    </row>
    <row r="59" spans="1:3">
      <c r="A59" s="474">
        <f>'Cost of Equity'!A97</f>
        <v>41607</v>
      </c>
      <c r="B59" s="473">
        <f>'Cost of Equity'!I97</f>
        <v>2.1216824194203256E-2</v>
      </c>
      <c r="C59" s="473">
        <f>'Cost of Equity'!AI96</f>
        <v>-9.0386846672100632E-2</v>
      </c>
    </row>
    <row r="60" spans="1:3">
      <c r="A60" s="474">
        <f>'Cost of Equity'!A98</f>
        <v>41638</v>
      </c>
      <c r="B60" s="473">
        <f>'Cost of Equity'!I98</f>
        <v>1.4496386070982265E-2</v>
      </c>
      <c r="C60" s="473">
        <f>'Cost of Equity'!AI97</f>
        <v>1.241972534492785E-2</v>
      </c>
    </row>
    <row r="61" spans="1:3">
      <c r="A61" s="474">
        <f>'Cost of Equity'!A99</f>
        <v>41670</v>
      </c>
      <c r="B61" s="473">
        <f>'Cost of Equity'!I99</f>
        <v>-2.2588213671424107E-2</v>
      </c>
      <c r="C61" s="473">
        <f>'Cost of Equity'!AI98</f>
        <v>0.12816873551215913</v>
      </c>
    </row>
    <row r="62" spans="1:3">
      <c r="A62" s="474">
        <f>'Cost of Equity'!A100</f>
        <v>41698</v>
      </c>
      <c r="B62" s="473">
        <f>'Cost of Equity'!I100</f>
        <v>4.1350013700070298E-2</v>
      </c>
      <c r="C62" s="473">
        <f>'Cost of Equity'!AI99</f>
        <v>6.8619236241024756E-2</v>
      </c>
    </row>
    <row r="63" spans="1:3">
      <c r="A63" s="474">
        <f>'Cost of Equity'!A101</f>
        <v>41729</v>
      </c>
      <c r="B63" s="473">
        <f>'Cost of Equity'!I101</f>
        <v>-2.5888897392058026E-2</v>
      </c>
      <c r="C63" s="473">
        <f>'Cost of Equity'!AI100</f>
        <v>-0.25470390493130479</v>
      </c>
    </row>
    <row r="64" spans="1:3">
      <c r="A64" s="474">
        <f>'Cost of Equity'!A102</f>
        <v>41759</v>
      </c>
      <c r="B64" s="473">
        <f>'Cost of Equity'!I102</f>
        <v>-2.3442083314561716E-2</v>
      </c>
      <c r="C64" s="473">
        <f>'Cost of Equity'!AI101</f>
        <v>-1.8388123994148527E-2</v>
      </c>
    </row>
    <row r="65" spans="1:3">
      <c r="A65" s="474">
        <f>'Cost of Equity'!A103</f>
        <v>41789</v>
      </c>
      <c r="B65" s="473">
        <f>'Cost of Equity'!I103</f>
        <v>5.2540146068330656E-2</v>
      </c>
      <c r="C65" s="473">
        <f>'Cost of Equity'!AI102</f>
        <v>3.7764605619246473E-2</v>
      </c>
    </row>
    <row r="66" spans="1:3">
      <c r="A66" s="474">
        <f>'Cost of Equity'!A104</f>
        <v>41820</v>
      </c>
      <c r="B66" s="473">
        <f>'Cost of Equity'!I104</f>
        <v>-8.1274807984067377E-3</v>
      </c>
      <c r="C66" s="473">
        <f>'Cost of Equity'!AI103</f>
        <v>-6.1734824953158317E-2</v>
      </c>
    </row>
    <row r="67" spans="1:3">
      <c r="A67" s="474">
        <f>'Cost of Equity'!A105</f>
        <v>41851</v>
      </c>
      <c r="B67" s="473">
        <f>'Cost of Equity'!I105</f>
        <v>-6.298657832327588E-2</v>
      </c>
      <c r="C67" s="473">
        <f>'Cost of Equity'!AI104</f>
        <v>-9.369344118527044E-2</v>
      </c>
    </row>
    <row r="68" spans="1:3">
      <c r="A68" s="474">
        <f>'Cost of Equity'!A106</f>
        <v>41880</v>
      </c>
      <c r="B68" s="473">
        <f>'Cost of Equity'!I106</f>
        <v>1.8385930461956822E-2</v>
      </c>
      <c r="C68" s="473">
        <f>'Cost of Equity'!AI105</f>
        <v>-0.16595411880391317</v>
      </c>
    </row>
    <row r="69" spans="1:3">
      <c r="A69" s="474">
        <f>'Cost of Equity'!A107</f>
        <v>41912</v>
      </c>
      <c r="B69" s="473">
        <f>'Cost of Equity'!I107</f>
        <v>-5.7315171313751219E-3</v>
      </c>
      <c r="C69" s="473">
        <f>'Cost of Equity'!AI106</f>
        <v>-6.6868176464840265E-2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U63"/>
  <sheetViews>
    <sheetView zoomScale="80" zoomScaleNormal="80" zoomScalePageLayoutView="80" workbookViewId="0">
      <selection activeCell="D8" sqref="D8"/>
    </sheetView>
  </sheetViews>
  <sheetFormatPr defaultColWidth="9.140625" defaultRowHeight="14.25"/>
  <cols>
    <col min="1" max="1" width="29.7109375" style="271" customWidth="1"/>
    <col min="2" max="2" width="13.42578125" style="271" customWidth="1"/>
    <col min="3" max="3" width="14.28515625" style="271" customWidth="1"/>
    <col min="4" max="4" width="17.42578125" style="271" bestFit="1" customWidth="1"/>
    <col min="5" max="5" width="2.7109375" style="274" customWidth="1"/>
    <col min="6" max="6" width="31.28515625" style="271" bestFit="1" customWidth="1"/>
    <col min="7" max="7" width="14.42578125" style="271" customWidth="1"/>
    <col min="8" max="8" width="12.85546875" style="271" bestFit="1" customWidth="1"/>
    <col min="9" max="10" width="14.42578125" style="271" bestFit="1" customWidth="1"/>
    <col min="11" max="11" width="12.85546875" style="271" bestFit="1" customWidth="1"/>
    <col min="12" max="12" width="2.7109375" style="274" customWidth="1"/>
    <col min="13" max="13" width="31.85546875" style="271" customWidth="1"/>
    <col min="14" max="14" width="18" style="271" customWidth="1"/>
    <col min="15" max="15" width="16.42578125" style="271" customWidth="1"/>
    <col min="16" max="16" width="20.140625" style="271" customWidth="1"/>
    <col min="17" max="17" width="14.28515625" style="271" bestFit="1" customWidth="1"/>
    <col min="18" max="18" width="2.7109375" style="271" customWidth="1"/>
    <col min="19" max="16384" width="9.140625" style="271"/>
  </cols>
  <sheetData>
    <row r="1" spans="1:18" ht="15">
      <c r="A1" s="312" t="s">
        <v>219</v>
      </c>
      <c r="B1" s="313"/>
      <c r="C1" s="313"/>
      <c r="D1" s="313"/>
      <c r="E1" s="270"/>
      <c r="F1" s="312" t="s">
        <v>220</v>
      </c>
      <c r="G1" s="313"/>
      <c r="H1" s="313"/>
      <c r="I1" s="313"/>
      <c r="J1" s="313"/>
      <c r="K1" s="313"/>
      <c r="L1" s="270"/>
      <c r="M1" s="312" t="s">
        <v>221</v>
      </c>
      <c r="N1" s="313"/>
      <c r="O1" s="313"/>
      <c r="P1" s="313"/>
      <c r="Q1" s="313"/>
      <c r="R1" s="270"/>
    </row>
    <row r="2" spans="1:18" ht="15">
      <c r="A2" s="272" t="s">
        <v>222</v>
      </c>
      <c r="B2" s="272"/>
      <c r="C2" s="272"/>
      <c r="D2" s="273" t="s">
        <v>311</v>
      </c>
      <c r="E2" s="270"/>
      <c r="F2" s="274"/>
      <c r="G2" s="273">
        <v>2010</v>
      </c>
      <c r="H2" s="273">
        <v>2011</v>
      </c>
      <c r="I2" s="273">
        <v>2012</v>
      </c>
      <c r="J2" s="273">
        <v>2013</v>
      </c>
      <c r="K2" s="273" t="s">
        <v>179</v>
      </c>
      <c r="L2" s="270"/>
      <c r="N2" s="273">
        <v>2010</v>
      </c>
      <c r="O2" s="273">
        <v>2011</v>
      </c>
      <c r="P2" s="273">
        <v>2012</v>
      </c>
      <c r="Q2" s="273">
        <v>2013</v>
      </c>
      <c r="R2" s="270"/>
    </row>
    <row r="3" spans="1:18" ht="15">
      <c r="A3" s="274" t="s">
        <v>204</v>
      </c>
      <c r="B3" s="274"/>
      <c r="C3" s="274"/>
      <c r="D3" s="275" t="s">
        <v>312</v>
      </c>
      <c r="E3" s="270"/>
      <c r="F3" s="272" t="s">
        <v>224</v>
      </c>
      <c r="G3" s="276"/>
      <c r="H3" s="276"/>
      <c r="I3" s="276">
        <v>2399830</v>
      </c>
      <c r="J3" s="276">
        <v>2406873</v>
      </c>
      <c r="K3" s="276"/>
      <c r="L3" s="270"/>
      <c r="M3" s="274" t="s">
        <v>155</v>
      </c>
      <c r="N3" s="277"/>
      <c r="O3" s="278"/>
      <c r="P3" s="278">
        <v>27379</v>
      </c>
      <c r="Q3" s="278">
        <v>28538</v>
      </c>
      <c r="R3" s="270"/>
    </row>
    <row r="4" spans="1:18">
      <c r="A4" s="274" t="s">
        <v>225</v>
      </c>
      <c r="B4" s="274"/>
      <c r="C4" s="274"/>
      <c r="D4" s="275" t="s">
        <v>226</v>
      </c>
      <c r="E4" s="270"/>
      <c r="F4" s="274" t="s">
        <v>177</v>
      </c>
      <c r="G4" s="277"/>
      <c r="H4" s="277"/>
      <c r="I4" s="277">
        <f t="shared" ref="I4:J4" si="0">I3-I5</f>
        <v>1962040</v>
      </c>
      <c r="J4" s="277">
        <f t="shared" si="0"/>
        <v>1919524</v>
      </c>
      <c r="K4" s="277"/>
      <c r="L4" s="270"/>
      <c r="M4" s="279" t="s">
        <v>227</v>
      </c>
      <c r="N4" s="280"/>
      <c r="O4" s="280"/>
      <c r="P4" s="280">
        <f>P3/I3</f>
        <v>1.1408724784672248E-2</v>
      </c>
      <c r="Q4" s="280">
        <f>Q3/J3</f>
        <v>1.1856878198392685E-2</v>
      </c>
      <c r="R4" s="270"/>
    </row>
    <row r="5" spans="1:18" ht="15">
      <c r="A5" s="274" t="s">
        <v>228</v>
      </c>
      <c r="B5" s="274"/>
      <c r="C5" s="274"/>
      <c r="D5" s="281">
        <v>41639</v>
      </c>
      <c r="E5" s="270"/>
      <c r="F5" s="272" t="s">
        <v>63</v>
      </c>
      <c r="G5" s="276">
        <f t="shared" ref="G5" si="1">G3-G4</f>
        <v>0</v>
      </c>
      <c r="H5" s="276"/>
      <c r="I5" s="276">
        <v>437790</v>
      </c>
      <c r="J5" s="276">
        <v>487349</v>
      </c>
      <c r="K5" s="276"/>
      <c r="L5" s="270"/>
      <c r="M5" s="274" t="s">
        <v>150</v>
      </c>
      <c r="N5" s="278"/>
      <c r="O5" s="278"/>
      <c r="P5" s="278">
        <v>32500</v>
      </c>
      <c r="Q5" s="278">
        <v>512</v>
      </c>
      <c r="R5" s="270"/>
    </row>
    <row r="6" spans="1:18">
      <c r="A6" s="274" t="s">
        <v>229</v>
      </c>
      <c r="B6" s="274"/>
      <c r="C6" s="274"/>
      <c r="D6" s="275"/>
      <c r="E6" s="270"/>
      <c r="F6" s="274" t="s">
        <v>231</v>
      </c>
      <c r="G6" s="277"/>
      <c r="H6" s="277"/>
      <c r="I6" s="277">
        <f>123683+102013+37218</f>
        <v>262914</v>
      </c>
      <c r="J6" s="277">
        <f>128209+109488+42979</f>
        <v>280676</v>
      </c>
      <c r="K6" s="277"/>
      <c r="L6" s="270"/>
      <c r="M6" s="279" t="s">
        <v>227</v>
      </c>
      <c r="N6" s="280"/>
      <c r="O6" s="280"/>
      <c r="P6" s="280">
        <f>P5/I3</f>
        <v>1.35426259360038E-2</v>
      </c>
      <c r="Q6" s="280">
        <f>Q5/J3</f>
        <v>2.1272414456433722E-4</v>
      </c>
      <c r="R6" s="270"/>
    </row>
    <row r="7" spans="1:18">
      <c r="A7" s="274" t="s">
        <v>232</v>
      </c>
      <c r="B7" s="274"/>
      <c r="C7" s="274"/>
      <c r="D7" s="275"/>
      <c r="E7" s="270"/>
      <c r="F7" s="274" t="s">
        <v>233</v>
      </c>
      <c r="G7" s="277"/>
      <c r="H7" s="277"/>
      <c r="I7" s="277">
        <f>-24453+22433</f>
        <v>-2020</v>
      </c>
      <c r="J7" s="277">
        <f>-21006+24688</f>
        <v>3682</v>
      </c>
      <c r="K7" s="277"/>
      <c r="L7" s="270"/>
      <c r="M7" s="274"/>
      <c r="N7" s="274"/>
      <c r="O7" s="274"/>
      <c r="P7" s="274"/>
      <c r="Q7" s="274"/>
      <c r="R7" s="270"/>
    </row>
    <row r="8" spans="1:18" ht="15">
      <c r="A8" s="274" t="s">
        <v>234</v>
      </c>
      <c r="B8" s="274"/>
      <c r="C8" s="274"/>
      <c r="D8" s="400">
        <f>'Dürr Regression'!F19</f>
        <v>0.89505986464533638</v>
      </c>
      <c r="E8" s="270"/>
      <c r="F8" s="272" t="s">
        <v>195</v>
      </c>
      <c r="G8" s="276">
        <f>G5-G6-G7</f>
        <v>0</v>
      </c>
      <c r="H8" s="276"/>
      <c r="I8" s="276">
        <f t="shared" ref="I8" si="2">I5-I6-I7</f>
        <v>176896</v>
      </c>
      <c r="J8" s="276">
        <f>J5-J6-J7</f>
        <v>202991</v>
      </c>
      <c r="K8" s="276"/>
      <c r="L8" s="270"/>
      <c r="M8" s="270"/>
      <c r="N8" s="270"/>
      <c r="O8" s="270"/>
      <c r="P8" s="270"/>
      <c r="Q8" s="270"/>
      <c r="R8" s="270"/>
    </row>
    <row r="9" spans="1:18" ht="15">
      <c r="A9" s="274" t="s">
        <v>24</v>
      </c>
      <c r="B9" s="274"/>
      <c r="C9" s="274"/>
      <c r="D9" s="282">
        <v>0.29580000000000001</v>
      </c>
      <c r="E9" s="270"/>
      <c r="F9" s="274" t="s">
        <v>235</v>
      </c>
      <c r="G9" s="277">
        <v>0</v>
      </c>
      <c r="H9" s="277"/>
      <c r="I9" s="277">
        <f>-452-23-2963+32604</f>
        <v>29166</v>
      </c>
      <c r="J9" s="277">
        <f>-594-36-3788+22830</f>
        <v>18412</v>
      </c>
      <c r="K9" s="277"/>
      <c r="L9" s="270"/>
      <c r="M9" s="312" t="s">
        <v>236</v>
      </c>
      <c r="N9" s="313"/>
      <c r="O9" s="313"/>
      <c r="P9" s="313"/>
      <c r="Q9" s="313"/>
      <c r="R9" s="270"/>
    </row>
    <row r="10" spans="1:18" ht="15">
      <c r="A10" s="270"/>
      <c r="B10" s="270"/>
      <c r="C10" s="270"/>
      <c r="D10" s="270"/>
      <c r="E10" s="270"/>
      <c r="F10" s="274" t="s">
        <v>237</v>
      </c>
      <c r="G10" s="277"/>
      <c r="H10" s="277"/>
      <c r="I10" s="277"/>
      <c r="J10" s="277"/>
      <c r="K10" s="277"/>
      <c r="L10" s="270"/>
      <c r="M10" s="274"/>
      <c r="N10" s="274"/>
      <c r="O10" s="274"/>
      <c r="P10" s="273">
        <v>2012</v>
      </c>
      <c r="Q10" s="273">
        <v>2013</v>
      </c>
      <c r="R10" s="270"/>
    </row>
    <row r="11" spans="1:18" ht="15">
      <c r="A11" s="312" t="s">
        <v>238</v>
      </c>
      <c r="B11" s="313"/>
      <c r="C11" s="313"/>
      <c r="D11" s="313"/>
      <c r="E11" s="270"/>
      <c r="F11" s="274" t="s">
        <v>59</v>
      </c>
      <c r="G11" s="277">
        <v>0</v>
      </c>
      <c r="H11" s="277">
        <v>0</v>
      </c>
      <c r="I11" s="277">
        <v>36345</v>
      </c>
      <c r="J11" s="277">
        <f>43673</f>
        <v>43673</v>
      </c>
      <c r="K11" s="277"/>
      <c r="L11" s="270"/>
      <c r="M11" s="274" t="s">
        <v>239</v>
      </c>
      <c r="N11" s="274"/>
      <c r="O11" s="274"/>
      <c r="P11" s="277">
        <v>349282</v>
      </c>
      <c r="Q11" s="277">
        <v>458513</v>
      </c>
      <c r="R11" s="270"/>
    </row>
    <row r="12" spans="1:18">
      <c r="A12" s="274" t="s">
        <v>240</v>
      </c>
      <c r="B12" s="283">
        <v>41912</v>
      </c>
      <c r="C12" s="284"/>
      <c r="D12" s="285">
        <v>64.81</v>
      </c>
      <c r="E12" s="270"/>
      <c r="F12" s="274" t="s">
        <v>241</v>
      </c>
      <c r="G12" s="277">
        <v>0</v>
      </c>
      <c r="H12" s="277">
        <v>0</v>
      </c>
      <c r="I12" s="277">
        <v>0</v>
      </c>
      <c r="J12" s="277">
        <v>0</v>
      </c>
      <c r="K12" s="277"/>
      <c r="L12" s="270"/>
      <c r="M12" s="274" t="s">
        <v>242</v>
      </c>
      <c r="N12" s="274"/>
      <c r="O12" s="274"/>
      <c r="P12" s="277">
        <f>694608</f>
        <v>694608</v>
      </c>
      <c r="Q12" s="277">
        <f>6755+675593</f>
        <v>682348</v>
      </c>
      <c r="R12" s="270"/>
    </row>
    <row r="13" spans="1:18">
      <c r="A13" s="279" t="s">
        <v>243</v>
      </c>
      <c r="B13" s="274"/>
      <c r="C13" s="286"/>
      <c r="D13" s="287">
        <f>D12/D14</f>
        <v>0.93750904093736454</v>
      </c>
      <c r="E13" s="270"/>
      <c r="F13" s="274" t="s">
        <v>244</v>
      </c>
      <c r="G13" s="277">
        <v>0</v>
      </c>
      <c r="H13" s="277">
        <v>0</v>
      </c>
      <c r="I13" s="277">
        <v>0</v>
      </c>
      <c r="J13" s="277">
        <v>0</v>
      </c>
      <c r="K13" s="277"/>
      <c r="L13" s="270"/>
      <c r="M13" s="274" t="s">
        <v>105</v>
      </c>
      <c r="N13" s="274"/>
      <c r="O13" s="274"/>
      <c r="P13" s="277">
        <v>144528</v>
      </c>
      <c r="Q13" s="277">
        <v>148014</v>
      </c>
      <c r="R13" s="270"/>
    </row>
    <row r="14" spans="1:18" ht="15">
      <c r="A14" s="274" t="s">
        <v>245</v>
      </c>
      <c r="B14" s="274"/>
      <c r="C14" s="284"/>
      <c r="D14" s="285">
        <v>69.13</v>
      </c>
      <c r="E14" s="270"/>
      <c r="F14" s="272" t="s">
        <v>55</v>
      </c>
      <c r="G14" s="276"/>
      <c r="H14" s="276"/>
      <c r="I14" s="276">
        <f>I8-SUM(I9:I13)</f>
        <v>111385</v>
      </c>
      <c r="J14" s="276">
        <f>J8-SUM(J9:J13)</f>
        <v>140906</v>
      </c>
      <c r="K14" s="276"/>
      <c r="L14" s="270"/>
      <c r="M14" s="274" t="s">
        <v>246</v>
      </c>
      <c r="N14" s="274"/>
      <c r="O14" s="274"/>
      <c r="P14" s="277">
        <f>5863+35857+22234+3396</f>
        <v>67350</v>
      </c>
      <c r="Q14" s="277">
        <f>18759+74197+14582+4483</f>
        <v>112021</v>
      </c>
      <c r="R14" s="270"/>
    </row>
    <row r="15" spans="1:18" ht="15">
      <c r="A15" s="274" t="s">
        <v>247</v>
      </c>
      <c r="B15" s="274"/>
      <c r="C15" s="284"/>
      <c r="D15" s="285">
        <v>49.3</v>
      </c>
      <c r="E15" s="270"/>
      <c r="F15" s="272"/>
      <c r="G15" s="274"/>
      <c r="H15" s="274"/>
      <c r="I15" s="274"/>
      <c r="J15" s="274"/>
      <c r="K15" s="274"/>
      <c r="L15" s="270"/>
      <c r="M15" s="272" t="s">
        <v>248</v>
      </c>
      <c r="N15" s="272"/>
      <c r="O15" s="272"/>
      <c r="P15" s="276">
        <f>SUM(P11:P14)</f>
        <v>1255768</v>
      </c>
      <c r="Q15" s="276">
        <f>SUM(Q11:Q14)</f>
        <v>1400896</v>
      </c>
      <c r="R15" s="270"/>
    </row>
    <row r="16" spans="1:18" ht="15">
      <c r="A16" s="274" t="s">
        <v>249</v>
      </c>
      <c r="B16" s="274"/>
      <c r="C16" s="284"/>
      <c r="D16" s="285">
        <v>1.45</v>
      </c>
      <c r="E16" s="270"/>
      <c r="F16" s="274" t="s">
        <v>250</v>
      </c>
      <c r="G16" s="277">
        <v>0</v>
      </c>
      <c r="H16" s="277">
        <v>0</v>
      </c>
      <c r="I16" s="277">
        <v>0</v>
      </c>
      <c r="J16" s="277">
        <v>0</v>
      </c>
      <c r="K16" s="277"/>
      <c r="L16" s="270"/>
      <c r="M16" s="274"/>
      <c r="N16" s="274"/>
      <c r="O16" s="274"/>
      <c r="P16" s="277"/>
      <c r="Q16" s="276"/>
      <c r="R16" s="270"/>
    </row>
    <row r="17" spans="1:18">
      <c r="A17" s="274"/>
      <c r="B17" s="274"/>
      <c r="C17" s="275"/>
      <c r="D17" s="275"/>
      <c r="E17" s="270"/>
      <c r="F17" s="274" t="s">
        <v>251</v>
      </c>
      <c r="G17" s="277">
        <v>0</v>
      </c>
      <c r="H17" s="277">
        <v>0</v>
      </c>
      <c r="I17" s="277">
        <v>34601</v>
      </c>
      <c r="J17" s="277">
        <v>34601</v>
      </c>
      <c r="K17" s="277"/>
      <c r="L17" s="270"/>
      <c r="M17" s="274" t="s">
        <v>252</v>
      </c>
      <c r="N17" s="274"/>
      <c r="O17" s="274"/>
      <c r="P17" s="277">
        <f>152311</f>
        <v>152311</v>
      </c>
      <c r="Q17" s="277">
        <f>173849</f>
        <v>173849</v>
      </c>
      <c r="R17" s="270"/>
    </row>
    <row r="18" spans="1:18">
      <c r="A18" s="274" t="s">
        <v>253</v>
      </c>
      <c r="B18" s="274"/>
      <c r="C18" s="274"/>
      <c r="D18" s="277">
        <v>34601</v>
      </c>
      <c r="E18" s="270"/>
      <c r="F18" s="274" t="s">
        <v>254</v>
      </c>
      <c r="G18" s="277">
        <v>0</v>
      </c>
      <c r="H18" s="277">
        <v>0</v>
      </c>
      <c r="I18" s="277">
        <v>3.1</v>
      </c>
      <c r="J18" s="277">
        <v>4.05</v>
      </c>
      <c r="K18" s="277"/>
      <c r="L18" s="270"/>
      <c r="M18" s="274" t="s">
        <v>255</v>
      </c>
      <c r="N18" s="274"/>
      <c r="O18" s="274"/>
      <c r="P18" s="277">
        <f>288159+38114</f>
        <v>326273</v>
      </c>
      <c r="Q18" s="277">
        <f>286971+35063</f>
        <v>322034</v>
      </c>
      <c r="R18" s="270"/>
    </row>
    <row r="19" spans="1:18" ht="15">
      <c r="A19" s="272" t="s">
        <v>256</v>
      </c>
      <c r="B19" s="274"/>
      <c r="C19" s="289"/>
      <c r="D19" s="290">
        <f>D12*D18</f>
        <v>2242490.81</v>
      </c>
      <c r="E19" s="270"/>
      <c r="F19" s="274"/>
      <c r="G19" s="274"/>
      <c r="H19" s="274"/>
      <c r="I19" s="274"/>
      <c r="J19" s="291"/>
      <c r="K19" s="291"/>
      <c r="L19" s="270"/>
      <c r="M19" s="274" t="s">
        <v>257</v>
      </c>
      <c r="N19" s="274"/>
      <c r="O19" s="274"/>
      <c r="P19" s="277">
        <f>23178+13419+14213+371+66+3154+100+15475+3377</f>
        <v>73353</v>
      </c>
      <c r="Q19" s="277">
        <f>22245+11699+30618+101+245+4004+198+23687+2267</f>
        <v>95064</v>
      </c>
      <c r="R19" s="270"/>
    </row>
    <row r="20" spans="1:18" ht="15">
      <c r="A20" s="274" t="s">
        <v>258</v>
      </c>
      <c r="B20" s="274"/>
      <c r="C20" s="284"/>
      <c r="D20" s="288">
        <f>Q29</f>
        <v>1479090</v>
      </c>
      <c r="E20" s="270"/>
      <c r="F20" s="270"/>
      <c r="G20" s="270"/>
      <c r="H20" s="270"/>
      <c r="I20" s="270"/>
      <c r="J20" s="270"/>
      <c r="K20" s="270"/>
      <c r="L20" s="270"/>
      <c r="M20" s="272" t="s">
        <v>97</v>
      </c>
      <c r="N20" s="272"/>
      <c r="O20" s="272"/>
      <c r="P20" s="276">
        <f>P15+P17+P18+P19</f>
        <v>1807705</v>
      </c>
      <c r="Q20" s="276">
        <f>Q16+Q17+Q18+Q19+Q15</f>
        <v>1991843</v>
      </c>
      <c r="R20" s="270"/>
    </row>
    <row r="21" spans="1:18" ht="15">
      <c r="A21" s="274" t="s">
        <v>183</v>
      </c>
      <c r="B21" s="274"/>
      <c r="C21" s="284"/>
      <c r="D21" s="288">
        <v>0</v>
      </c>
      <c r="E21" s="270"/>
      <c r="F21" s="312" t="s">
        <v>259</v>
      </c>
      <c r="G21" s="313"/>
      <c r="H21" s="313"/>
      <c r="I21" s="313"/>
      <c r="J21" s="313"/>
      <c r="K21" s="313"/>
      <c r="L21" s="270"/>
      <c r="M21" s="274"/>
      <c r="N21" s="274"/>
      <c r="O21" s="274"/>
      <c r="P21" s="277"/>
      <c r="Q21" s="277"/>
      <c r="R21" s="270"/>
    </row>
    <row r="22" spans="1:18">
      <c r="A22" s="274" t="s">
        <v>241</v>
      </c>
      <c r="B22" s="274"/>
      <c r="C22" s="284"/>
      <c r="D22" s="288">
        <v>0</v>
      </c>
      <c r="E22" s="270"/>
      <c r="F22" s="274" t="s">
        <v>260</v>
      </c>
      <c r="G22" s="277">
        <f>G5</f>
        <v>0</v>
      </c>
      <c r="H22" s="277">
        <f>H5</f>
        <v>0</v>
      </c>
      <c r="I22" s="277">
        <f>I5</f>
        <v>437790</v>
      </c>
      <c r="J22" s="277">
        <f>J5</f>
        <v>487349</v>
      </c>
      <c r="K22" s="277"/>
      <c r="L22" s="270"/>
      <c r="M22" s="274" t="s">
        <v>261</v>
      </c>
      <c r="N22" s="274"/>
      <c r="O22" s="274"/>
      <c r="P22" s="277">
        <v>724166</v>
      </c>
      <c r="Q22" s="277">
        <f>854772</f>
        <v>854772</v>
      </c>
      <c r="R22" s="270"/>
    </row>
    <row r="23" spans="1:18">
      <c r="A23" s="274" t="s">
        <v>239</v>
      </c>
      <c r="B23" s="274"/>
      <c r="C23" s="284"/>
      <c r="D23" s="288">
        <v>458513</v>
      </c>
      <c r="E23" s="270"/>
      <c r="F23" s="274" t="s">
        <v>262</v>
      </c>
      <c r="G23" s="277">
        <v>0</v>
      </c>
      <c r="H23" s="277">
        <v>0</v>
      </c>
      <c r="I23" s="277">
        <v>0</v>
      </c>
      <c r="J23" s="277">
        <v>0</v>
      </c>
      <c r="K23" s="277"/>
      <c r="L23" s="270"/>
      <c r="M23" s="274" t="s">
        <v>263</v>
      </c>
      <c r="N23" s="274"/>
      <c r="O23" s="274"/>
      <c r="P23" s="277">
        <f>53253+268</f>
        <v>53521</v>
      </c>
      <c r="Q23" s="277">
        <f>65296+390</f>
        <v>65686</v>
      </c>
      <c r="R23" s="270"/>
    </row>
    <row r="24" spans="1:18" ht="15">
      <c r="A24" s="272" t="s">
        <v>264</v>
      </c>
      <c r="B24" s="274"/>
      <c r="C24" s="289"/>
      <c r="D24" s="290">
        <f>D19+D20+D21+D22-D23</f>
        <v>3263067.81</v>
      </c>
      <c r="E24" s="270"/>
      <c r="F24" s="272" t="s">
        <v>265</v>
      </c>
      <c r="G24" s="276">
        <v>0</v>
      </c>
      <c r="H24" s="276">
        <v>0</v>
      </c>
      <c r="I24" s="276">
        <v>0</v>
      </c>
      <c r="J24" s="276">
        <v>0</v>
      </c>
      <c r="K24" s="276"/>
      <c r="L24" s="270"/>
      <c r="M24" s="274" t="s">
        <v>266</v>
      </c>
      <c r="N24" s="274"/>
      <c r="O24" s="274"/>
      <c r="P24" s="277">
        <f>14807+52716+18835+108933</f>
        <v>195291</v>
      </c>
      <c r="Q24" s="277">
        <f>2460+16254+30506+107742+8255</f>
        <v>165217</v>
      </c>
      <c r="R24" s="270"/>
    </row>
    <row r="25" spans="1:18" ht="15">
      <c r="A25" s="270"/>
      <c r="B25" s="270"/>
      <c r="C25" s="270"/>
      <c r="D25" s="270"/>
      <c r="E25" s="270"/>
      <c r="F25" s="279" t="s">
        <v>154</v>
      </c>
      <c r="G25" s="292" t="str">
        <f t="shared" ref="G25:I25" si="3">IFERROR(G24/G$3,"")</f>
        <v/>
      </c>
      <c r="H25" s="292" t="str">
        <f t="shared" si="3"/>
        <v/>
      </c>
      <c r="I25" s="292">
        <f t="shared" si="3"/>
        <v>0</v>
      </c>
      <c r="J25" s="292">
        <f>IFERROR(J24/J$3,"")</f>
        <v>0</v>
      </c>
      <c r="K25" s="292"/>
      <c r="L25" s="270"/>
      <c r="M25" s="272" t="s">
        <v>94</v>
      </c>
      <c r="N25" s="272"/>
      <c r="O25" s="272"/>
      <c r="P25" s="276">
        <f>SUM(P22:P24)</f>
        <v>972978</v>
      </c>
      <c r="Q25" s="276">
        <f>SUM(Q22:Q24)</f>
        <v>1085675</v>
      </c>
      <c r="R25" s="270"/>
    </row>
    <row r="26" spans="1:18" ht="15">
      <c r="A26" s="312" t="s">
        <v>267</v>
      </c>
      <c r="B26" s="313"/>
      <c r="C26" s="313"/>
      <c r="D26" s="313"/>
      <c r="E26" s="270"/>
      <c r="F26" s="274"/>
      <c r="G26" s="277"/>
      <c r="H26" s="277"/>
      <c r="I26" s="277"/>
      <c r="J26" s="277"/>
      <c r="K26" s="277"/>
      <c r="L26" s="270"/>
      <c r="M26" s="274"/>
      <c r="N26" s="274"/>
      <c r="O26" s="274"/>
      <c r="P26" s="277"/>
      <c r="Q26" s="277"/>
      <c r="R26" s="270"/>
    </row>
    <row r="27" spans="1:18" ht="15">
      <c r="A27" s="272"/>
      <c r="B27" s="273"/>
      <c r="D27" s="273">
        <v>2013</v>
      </c>
      <c r="E27" s="270"/>
      <c r="F27" s="274" t="s">
        <v>268</v>
      </c>
      <c r="G27" s="277">
        <f>G8</f>
        <v>0</v>
      </c>
      <c r="H27" s="277">
        <f>H8</f>
        <v>0</v>
      </c>
      <c r="I27" s="277">
        <f>I8</f>
        <v>176896</v>
      </c>
      <c r="J27" s="277">
        <f>J8</f>
        <v>202991</v>
      </c>
      <c r="K27" s="277"/>
      <c r="L27" s="270"/>
      <c r="M27" s="274" t="s">
        <v>258</v>
      </c>
      <c r="N27" s="274"/>
      <c r="O27" s="274"/>
      <c r="P27" s="277">
        <v>225379</v>
      </c>
      <c r="Q27" s="277">
        <v>225200</v>
      </c>
      <c r="R27" s="270"/>
    </row>
    <row r="28" spans="1:18">
      <c r="E28" s="270"/>
      <c r="F28" s="274" t="s">
        <v>262</v>
      </c>
      <c r="G28" s="277">
        <v>0</v>
      </c>
      <c r="H28" s="277">
        <v>0</v>
      </c>
      <c r="I28" s="277">
        <v>0</v>
      </c>
      <c r="J28" s="277">
        <v>0</v>
      </c>
      <c r="K28" s="277"/>
      <c r="L28" s="270"/>
      <c r="M28" s="274" t="s">
        <v>269</v>
      </c>
      <c r="N28" s="274"/>
      <c r="O28" s="274"/>
      <c r="P28" s="277">
        <f>53480+6728+16744+45876+13876+117+4804+35381+260+1379</f>
        <v>178645</v>
      </c>
      <c r="Q28" s="277">
        <f>49762+7758+2026+43396+19737+205+4344+42246+120-1379</f>
        <v>168215</v>
      </c>
      <c r="R28" s="270"/>
    </row>
    <row r="29" spans="1:18" ht="15">
      <c r="A29" s="272" t="s">
        <v>270</v>
      </c>
      <c r="B29" s="274"/>
      <c r="D29" s="293">
        <f>D24/J3</f>
        <v>1.355729118237647</v>
      </c>
      <c r="E29" s="270"/>
      <c r="F29" s="274" t="s">
        <v>271</v>
      </c>
      <c r="G29" s="277">
        <v>0</v>
      </c>
      <c r="H29" s="277">
        <v>0</v>
      </c>
      <c r="I29" s="277">
        <v>0</v>
      </c>
      <c r="J29" s="277">
        <v>0</v>
      </c>
      <c r="K29" s="277"/>
      <c r="L29" s="270"/>
      <c r="M29" s="272" t="s">
        <v>88</v>
      </c>
      <c r="N29" s="272"/>
      <c r="O29" s="272"/>
      <c r="P29" s="276">
        <f>P25+P27+P28</f>
        <v>1377002</v>
      </c>
      <c r="Q29" s="276">
        <f>Q25+Q27+Q28</f>
        <v>1479090</v>
      </c>
      <c r="R29" s="270"/>
    </row>
    <row r="30" spans="1:18" ht="15">
      <c r="A30" s="274"/>
      <c r="B30" s="274"/>
      <c r="D30" s="294"/>
      <c r="E30" s="270"/>
      <c r="F30" s="272" t="s">
        <v>272</v>
      </c>
      <c r="G30" s="276">
        <v>0</v>
      </c>
      <c r="H30" s="276">
        <v>0</v>
      </c>
      <c r="I30" s="276">
        <v>0</v>
      </c>
      <c r="J30" s="276">
        <v>0</v>
      </c>
      <c r="K30" s="276"/>
      <c r="L30" s="270"/>
      <c r="M30" s="274"/>
      <c r="N30" s="274"/>
      <c r="O30" s="274"/>
      <c r="P30" s="277"/>
      <c r="Q30" s="277"/>
      <c r="R30" s="270"/>
    </row>
    <row r="31" spans="1:18" ht="15">
      <c r="A31" s="272" t="s">
        <v>273</v>
      </c>
      <c r="B31" s="274"/>
      <c r="D31" s="293">
        <f>D24/(J8+Q3)</f>
        <v>14.093559813241537</v>
      </c>
      <c r="E31" s="270"/>
      <c r="F31" s="279" t="s">
        <v>154</v>
      </c>
      <c r="G31" s="292" t="str">
        <f t="shared" ref="G31:I31" si="4">IFERROR(G30/G$3,"")</f>
        <v/>
      </c>
      <c r="H31" s="292" t="str">
        <f t="shared" si="4"/>
        <v/>
      </c>
      <c r="I31" s="292">
        <f t="shared" si="4"/>
        <v>0</v>
      </c>
      <c r="J31" s="292">
        <f>IFERROR(J30/J$3,"")</f>
        <v>0</v>
      </c>
      <c r="K31" s="292"/>
      <c r="L31" s="270"/>
      <c r="M31" s="274" t="s">
        <v>241</v>
      </c>
      <c r="N31" s="274"/>
      <c r="O31" s="274"/>
      <c r="P31" s="277">
        <v>6875</v>
      </c>
      <c r="Q31" s="277">
        <v>8254</v>
      </c>
      <c r="R31" s="270"/>
    </row>
    <row r="32" spans="1:18">
      <c r="A32" s="274"/>
      <c r="B32" s="274"/>
      <c r="D32" s="295"/>
      <c r="E32" s="270"/>
      <c r="F32" s="274"/>
      <c r="G32" s="277"/>
      <c r="H32" s="277"/>
      <c r="I32" s="277"/>
      <c r="J32" s="277"/>
      <c r="K32" s="277"/>
      <c r="L32" s="270"/>
      <c r="M32" s="274" t="s">
        <v>183</v>
      </c>
      <c r="N32" s="274"/>
      <c r="O32" s="274"/>
      <c r="P32" s="277">
        <v>0</v>
      </c>
      <c r="Q32" s="277">
        <v>0</v>
      </c>
      <c r="R32" s="270"/>
    </row>
    <row r="33" spans="1:21" ht="15">
      <c r="A33" s="272" t="s">
        <v>274</v>
      </c>
      <c r="B33" s="274"/>
      <c r="D33" s="293">
        <f>D24/J8</f>
        <v>16.074938347020311</v>
      </c>
      <c r="E33" s="270"/>
      <c r="F33" s="274" t="s">
        <v>151</v>
      </c>
      <c r="G33" s="277">
        <v>0</v>
      </c>
      <c r="H33" s="277">
        <v>0</v>
      </c>
      <c r="I33" s="277">
        <f>P3</f>
        <v>27379</v>
      </c>
      <c r="J33" s="277">
        <f>Q3</f>
        <v>28538</v>
      </c>
      <c r="K33" s="277"/>
      <c r="L33" s="270"/>
      <c r="M33" s="274" t="s">
        <v>275</v>
      </c>
      <c r="N33" s="274"/>
      <c r="O33" s="274"/>
      <c r="P33" s="277">
        <v>423828</v>
      </c>
      <c r="Q33" s="277">
        <v>504499</v>
      </c>
      <c r="R33" s="270"/>
    </row>
    <row r="34" spans="1:21" ht="15">
      <c r="A34" s="274"/>
      <c r="B34" s="274"/>
      <c r="D34" s="295"/>
      <c r="E34" s="270"/>
      <c r="F34" s="272" t="s">
        <v>276</v>
      </c>
      <c r="G34" s="276">
        <v>0</v>
      </c>
      <c r="H34" s="276">
        <v>0</v>
      </c>
      <c r="I34" s="276">
        <f>I33+I8</f>
        <v>204275</v>
      </c>
      <c r="J34" s="276">
        <f>J33+J8</f>
        <v>231529</v>
      </c>
      <c r="K34" s="276"/>
      <c r="L34" s="270"/>
      <c r="M34" s="296" t="s">
        <v>277</v>
      </c>
      <c r="N34" s="296"/>
      <c r="O34" s="296"/>
      <c r="P34" s="297">
        <f>P29+P33+P32+P31</f>
        <v>1807705</v>
      </c>
      <c r="Q34" s="297">
        <f>Q29+Q33+Q32+Q31</f>
        <v>1991843</v>
      </c>
      <c r="R34" s="270"/>
    </row>
    <row r="35" spans="1:21" ht="15">
      <c r="A35" s="272" t="s">
        <v>278</v>
      </c>
      <c r="B35" s="274"/>
      <c r="D35" s="293">
        <v>9.83</v>
      </c>
      <c r="E35" s="270"/>
      <c r="F35" s="279" t="s">
        <v>154</v>
      </c>
      <c r="G35" s="292" t="str">
        <f t="shared" ref="G35:I35" si="5">IFERROR(G34/G$3,"")</f>
        <v/>
      </c>
      <c r="H35" s="292" t="str">
        <f t="shared" si="5"/>
        <v/>
      </c>
      <c r="I35" s="292">
        <f t="shared" si="5"/>
        <v>8.5120612710066962E-2</v>
      </c>
      <c r="J35" s="292">
        <f>IFERROR(J34/J$3,"")</f>
        <v>9.6194938411789901E-2</v>
      </c>
      <c r="K35" s="292"/>
      <c r="L35" s="270"/>
      <c r="M35" s="279" t="s">
        <v>279</v>
      </c>
      <c r="N35" s="274"/>
      <c r="O35" s="274"/>
      <c r="P35" s="277">
        <f>P20-P34</f>
        <v>0</v>
      </c>
      <c r="Q35" s="277">
        <f>Q20-Q34</f>
        <v>0</v>
      </c>
      <c r="R35" s="270"/>
    </row>
    <row r="36" spans="1:21">
      <c r="A36" s="274"/>
      <c r="B36" s="274"/>
      <c r="C36" s="274"/>
      <c r="D36" s="275"/>
      <c r="E36" s="270"/>
      <c r="F36" s="274"/>
      <c r="G36" s="274"/>
      <c r="H36" s="274"/>
      <c r="I36" s="274"/>
      <c r="J36" s="274"/>
      <c r="K36" s="274"/>
      <c r="L36" s="270"/>
      <c r="R36" s="270"/>
    </row>
    <row r="37" spans="1:21" ht="15" customHeight="1">
      <c r="A37" s="298"/>
      <c r="B37" s="299"/>
      <c r="C37" s="299"/>
      <c r="D37" s="299"/>
      <c r="E37" s="270"/>
      <c r="F37" s="274" t="s">
        <v>280</v>
      </c>
      <c r="G37" s="277">
        <v>0</v>
      </c>
      <c r="H37" s="277">
        <v>0</v>
      </c>
      <c r="I37" s="277">
        <v>0</v>
      </c>
      <c r="J37" s="277">
        <v>0</v>
      </c>
      <c r="K37" s="277"/>
      <c r="L37" s="270"/>
      <c r="M37" s="270"/>
      <c r="N37" s="270"/>
      <c r="O37" s="270"/>
      <c r="P37" s="270"/>
      <c r="Q37" s="270"/>
      <c r="R37" s="270"/>
    </row>
    <row r="38" spans="1:21" ht="15">
      <c r="A38" s="274"/>
      <c r="B38" s="274"/>
      <c r="C38" s="300"/>
      <c r="D38" s="277"/>
      <c r="E38" s="270"/>
      <c r="F38" s="274" t="s">
        <v>262</v>
      </c>
      <c r="G38" s="277">
        <v>0</v>
      </c>
      <c r="H38" s="277">
        <v>0</v>
      </c>
      <c r="I38" s="277">
        <v>0</v>
      </c>
      <c r="J38" s="277">
        <v>0</v>
      </c>
      <c r="K38" s="277"/>
      <c r="L38" s="270"/>
      <c r="M38" s="312" t="s">
        <v>281</v>
      </c>
      <c r="N38" s="313"/>
      <c r="O38" s="313"/>
      <c r="P38" s="313"/>
      <c r="Q38" s="313"/>
      <c r="R38" s="270"/>
    </row>
    <row r="39" spans="1:21">
      <c r="A39" s="274"/>
      <c r="B39" s="274"/>
      <c r="C39" s="174"/>
      <c r="D39" s="301"/>
      <c r="E39" s="270"/>
      <c r="F39" s="274" t="s">
        <v>271</v>
      </c>
      <c r="G39" s="277">
        <v>0</v>
      </c>
      <c r="H39" s="277">
        <v>0</v>
      </c>
      <c r="I39" s="277">
        <v>0</v>
      </c>
      <c r="J39" s="277">
        <v>0</v>
      </c>
      <c r="K39" s="277"/>
      <c r="L39" s="270"/>
      <c r="M39" s="274" t="s">
        <v>282</v>
      </c>
      <c r="N39" s="302">
        <f>D20+Q33-SUM(Q17:Q19)</f>
        <v>1392642</v>
      </c>
      <c r="O39" s="274"/>
      <c r="P39" s="274"/>
      <c r="Q39" s="274"/>
      <c r="R39" s="270"/>
    </row>
    <row r="40" spans="1:21">
      <c r="A40" s="274"/>
      <c r="B40" s="274"/>
      <c r="C40" s="174"/>
      <c r="D40" s="301"/>
      <c r="E40" s="270"/>
      <c r="F40" s="274" t="s">
        <v>283</v>
      </c>
      <c r="G40" s="277">
        <v>0</v>
      </c>
      <c r="H40" s="277">
        <v>0</v>
      </c>
      <c r="I40" s="277">
        <v>0</v>
      </c>
      <c r="J40" s="277">
        <v>0</v>
      </c>
      <c r="K40" s="277"/>
      <c r="L40" s="270"/>
      <c r="M40" s="274" t="s">
        <v>284</v>
      </c>
      <c r="N40" s="277">
        <f>((Q27-Q11)+(P27-P11))/2</f>
        <v>-178608</v>
      </c>
      <c r="O40" s="274"/>
      <c r="P40" s="274"/>
      <c r="Q40" s="274"/>
      <c r="R40" s="270"/>
    </row>
    <row r="41" spans="1:21">
      <c r="A41" s="274"/>
      <c r="B41" s="274"/>
      <c r="C41" s="277"/>
      <c r="D41" s="277"/>
      <c r="E41" s="270"/>
      <c r="F41" s="274" t="s">
        <v>285</v>
      </c>
      <c r="G41" s="277">
        <v>0</v>
      </c>
      <c r="H41" s="277">
        <v>0</v>
      </c>
      <c r="I41" s="277">
        <v>0</v>
      </c>
      <c r="J41" s="277">
        <v>0</v>
      </c>
      <c r="K41" s="277"/>
      <c r="L41" s="270"/>
      <c r="R41" s="270"/>
    </row>
    <row r="42" spans="1:21" ht="15">
      <c r="A42" s="274"/>
      <c r="B42" s="274"/>
      <c r="C42" s="274"/>
      <c r="D42" s="274"/>
      <c r="E42" s="270"/>
      <c r="F42" s="272" t="s">
        <v>286</v>
      </c>
      <c r="G42" s="303">
        <v>0</v>
      </c>
      <c r="H42" s="303">
        <v>0</v>
      </c>
      <c r="I42" s="303">
        <v>0</v>
      </c>
      <c r="J42" s="303">
        <v>0</v>
      </c>
      <c r="K42" s="303"/>
      <c r="L42" s="270"/>
      <c r="R42" s="270"/>
    </row>
    <row r="43" spans="1:21" ht="15">
      <c r="A43" s="298"/>
      <c r="B43" s="299"/>
      <c r="C43" s="299"/>
      <c r="D43" s="299"/>
      <c r="E43" s="270"/>
      <c r="F43" s="279" t="s">
        <v>154</v>
      </c>
      <c r="G43" s="292" t="str">
        <f t="shared" ref="G43:I43" si="6">IFERROR(G42/G$3,"")</f>
        <v/>
      </c>
      <c r="H43" s="292" t="str">
        <f t="shared" si="6"/>
        <v/>
      </c>
      <c r="I43" s="292">
        <f t="shared" si="6"/>
        <v>0</v>
      </c>
      <c r="J43" s="292">
        <f>IFERROR(J42/J$3,"")</f>
        <v>0</v>
      </c>
      <c r="K43" s="292"/>
      <c r="L43" s="270"/>
      <c r="R43" s="270"/>
    </row>
    <row r="44" spans="1:21">
      <c r="A44" s="274"/>
      <c r="B44" s="274"/>
      <c r="C44" s="291"/>
      <c r="D44" s="304"/>
      <c r="E44" s="270"/>
      <c r="F44" s="274"/>
      <c r="G44" s="274"/>
      <c r="H44" s="274"/>
      <c r="I44" s="274"/>
      <c r="J44" s="274"/>
      <c r="K44" s="274"/>
      <c r="L44" s="270"/>
      <c r="R44" s="270"/>
    </row>
    <row r="45" spans="1:21">
      <c r="A45" s="274"/>
      <c r="B45" s="274"/>
      <c r="C45" s="291"/>
      <c r="D45" s="304"/>
      <c r="E45" s="270"/>
      <c r="F45" s="274" t="s">
        <v>287</v>
      </c>
      <c r="G45" s="305">
        <v>0</v>
      </c>
      <c r="H45" s="305">
        <v>0</v>
      </c>
      <c r="I45" s="305">
        <v>0</v>
      </c>
      <c r="J45" s="305">
        <v>0</v>
      </c>
      <c r="K45" s="305"/>
      <c r="L45" s="270"/>
      <c r="R45" s="270"/>
    </row>
    <row r="46" spans="1:21" ht="15" customHeight="1">
      <c r="A46" s="270"/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</row>
    <row r="47" spans="1:21" ht="15" customHeight="1"/>
    <row r="48" spans="1:21">
      <c r="A48" s="274"/>
      <c r="B48" s="274"/>
      <c r="C48" s="291"/>
      <c r="D48" s="306"/>
      <c r="F48" s="274"/>
      <c r="G48" s="274"/>
      <c r="H48" s="274"/>
      <c r="I48" s="274"/>
      <c r="J48" s="274"/>
      <c r="K48" s="274"/>
      <c r="M48" s="274"/>
      <c r="N48" s="274"/>
      <c r="O48" s="274"/>
      <c r="P48" s="274"/>
      <c r="Q48" s="274"/>
      <c r="R48" s="274"/>
      <c r="S48" s="274"/>
      <c r="T48" s="274"/>
      <c r="U48" s="274"/>
    </row>
    <row r="49" spans="1:21">
      <c r="A49" s="274"/>
      <c r="B49" s="274"/>
      <c r="C49" s="291"/>
      <c r="D49" s="306"/>
      <c r="F49" s="274"/>
      <c r="G49" s="274"/>
      <c r="H49" s="274"/>
      <c r="I49" s="274"/>
      <c r="J49" s="274"/>
      <c r="K49" s="274"/>
      <c r="M49" s="274"/>
      <c r="N49" s="274"/>
      <c r="O49" s="274"/>
      <c r="P49" s="274"/>
      <c r="Q49" s="274"/>
      <c r="R49" s="274"/>
      <c r="S49" s="274"/>
      <c r="T49" s="274"/>
      <c r="U49" s="274"/>
    </row>
    <row r="50" spans="1:21">
      <c r="A50" s="274"/>
      <c r="B50" s="274"/>
      <c r="C50" s="274"/>
      <c r="D50" s="274"/>
      <c r="F50" s="274"/>
      <c r="G50" s="274"/>
      <c r="H50" s="274"/>
      <c r="I50" s="274"/>
      <c r="J50" s="274"/>
      <c r="K50" s="274"/>
      <c r="M50" s="274"/>
      <c r="N50" s="274"/>
      <c r="O50" s="274"/>
      <c r="P50" s="274"/>
      <c r="Q50" s="274"/>
      <c r="R50" s="274"/>
      <c r="S50" s="274"/>
      <c r="T50" s="274"/>
      <c r="U50" s="274"/>
    </row>
    <row r="51" spans="1:21" ht="15">
      <c r="A51" s="298"/>
      <c r="B51" s="299"/>
      <c r="C51" s="299"/>
      <c r="D51" s="299"/>
      <c r="F51" s="274"/>
      <c r="G51" s="274"/>
      <c r="H51" s="274"/>
      <c r="I51" s="274"/>
      <c r="J51" s="274"/>
      <c r="K51" s="274"/>
      <c r="M51" s="274"/>
      <c r="N51" s="274"/>
      <c r="O51" s="274"/>
      <c r="P51" s="274"/>
      <c r="Q51" s="274"/>
      <c r="R51" s="274"/>
      <c r="S51" s="274"/>
      <c r="T51" s="274"/>
      <c r="U51" s="274"/>
    </row>
    <row r="52" spans="1:21" ht="15">
      <c r="A52" s="274"/>
      <c r="B52" s="273"/>
      <c r="C52" s="273"/>
      <c r="D52" s="273"/>
      <c r="F52" s="274"/>
      <c r="G52" s="274"/>
      <c r="H52" s="274"/>
      <c r="I52" s="274"/>
      <c r="J52" s="274"/>
      <c r="K52" s="274"/>
      <c r="M52" s="274"/>
      <c r="N52" s="274"/>
      <c r="O52" s="274"/>
      <c r="P52" s="274"/>
      <c r="Q52" s="274"/>
      <c r="R52" s="274"/>
      <c r="S52" s="274"/>
      <c r="T52" s="274"/>
      <c r="U52" s="274"/>
    </row>
    <row r="53" spans="1:21" ht="15">
      <c r="A53" s="272"/>
      <c r="B53" s="274"/>
      <c r="C53" s="274"/>
      <c r="D53" s="274"/>
      <c r="F53" s="274"/>
      <c r="G53" s="274"/>
      <c r="H53" s="274"/>
      <c r="I53" s="274"/>
      <c r="J53" s="274"/>
      <c r="K53" s="274"/>
      <c r="M53" s="274"/>
      <c r="N53" s="274"/>
      <c r="O53" s="274"/>
      <c r="P53" s="274"/>
      <c r="Q53" s="274"/>
      <c r="R53" s="274"/>
      <c r="S53" s="274"/>
      <c r="T53" s="274"/>
      <c r="U53" s="274"/>
    </row>
    <row r="54" spans="1:21">
      <c r="A54" s="274"/>
      <c r="B54" s="301"/>
      <c r="C54" s="174"/>
      <c r="D54" s="174"/>
      <c r="F54" s="274"/>
      <c r="G54" s="274"/>
      <c r="H54" s="274"/>
      <c r="I54" s="274"/>
      <c r="J54" s="274"/>
      <c r="K54" s="274"/>
      <c r="M54" s="274"/>
      <c r="N54" s="274"/>
      <c r="O54" s="274"/>
      <c r="P54" s="274"/>
      <c r="Q54" s="274"/>
      <c r="R54" s="274"/>
      <c r="S54" s="274"/>
      <c r="T54" s="274"/>
      <c r="U54" s="274"/>
    </row>
    <row r="55" spans="1:21">
      <c r="A55" s="274"/>
      <c r="B55" s="301"/>
      <c r="C55" s="306"/>
      <c r="D55" s="306"/>
      <c r="F55" s="274"/>
      <c r="G55" s="274"/>
      <c r="H55" s="274"/>
      <c r="I55" s="274"/>
      <c r="J55" s="274"/>
      <c r="K55" s="274"/>
      <c r="L55" s="299"/>
      <c r="M55" s="274"/>
      <c r="N55" s="274"/>
      <c r="O55" s="274"/>
      <c r="P55" s="274"/>
      <c r="Q55" s="274"/>
      <c r="R55" s="274"/>
      <c r="S55" s="274"/>
      <c r="T55" s="274"/>
      <c r="U55" s="274"/>
    </row>
    <row r="56" spans="1:21" ht="15">
      <c r="A56" s="272"/>
      <c r="B56" s="306"/>
      <c r="C56" s="306"/>
      <c r="D56" s="306"/>
      <c r="F56" s="274"/>
      <c r="G56" s="274"/>
      <c r="H56" s="274"/>
      <c r="I56" s="274"/>
      <c r="J56" s="274"/>
      <c r="K56" s="274"/>
      <c r="M56" s="274"/>
      <c r="N56" s="274"/>
      <c r="O56" s="274"/>
      <c r="P56" s="274"/>
      <c r="Q56" s="274"/>
      <c r="R56" s="274"/>
      <c r="S56" s="274"/>
      <c r="T56" s="274"/>
      <c r="U56" s="274"/>
    </row>
    <row r="57" spans="1:21">
      <c r="A57" s="274"/>
      <c r="B57" s="306"/>
      <c r="C57" s="306"/>
      <c r="D57" s="306"/>
      <c r="F57" s="274"/>
      <c r="G57" s="274"/>
      <c r="H57" s="274"/>
      <c r="I57" s="274"/>
      <c r="J57" s="274"/>
      <c r="K57" s="274"/>
      <c r="M57" s="274"/>
      <c r="N57" s="274"/>
      <c r="O57" s="274"/>
      <c r="P57" s="274"/>
      <c r="Q57" s="274"/>
      <c r="R57" s="274"/>
      <c r="S57" s="274"/>
      <c r="T57" s="274"/>
      <c r="U57" s="274"/>
    </row>
    <row r="58" spans="1:21">
      <c r="A58" s="274"/>
      <c r="B58" s="306"/>
      <c r="C58" s="306"/>
      <c r="D58" s="306"/>
      <c r="F58" s="274"/>
      <c r="G58" s="274"/>
      <c r="H58" s="274"/>
      <c r="I58" s="274"/>
      <c r="J58" s="274"/>
      <c r="K58" s="274"/>
      <c r="M58" s="274"/>
      <c r="N58" s="274"/>
      <c r="O58" s="274"/>
      <c r="P58" s="274"/>
      <c r="Q58" s="274"/>
      <c r="R58" s="274"/>
      <c r="S58" s="274"/>
      <c r="T58" s="274"/>
      <c r="U58" s="274"/>
    </row>
    <row r="59" spans="1:21">
      <c r="A59" s="274"/>
      <c r="B59" s="306"/>
      <c r="C59" s="306"/>
      <c r="D59" s="306"/>
      <c r="F59" s="274"/>
      <c r="G59" s="274"/>
      <c r="H59" s="274"/>
      <c r="I59" s="274"/>
      <c r="J59" s="274"/>
      <c r="K59" s="274"/>
      <c r="M59" s="274"/>
      <c r="N59" s="274"/>
      <c r="O59" s="274"/>
      <c r="P59" s="274"/>
      <c r="Q59" s="274"/>
      <c r="R59" s="274"/>
      <c r="S59" s="274"/>
      <c r="T59" s="274"/>
      <c r="U59" s="274"/>
    </row>
    <row r="60" spans="1:21">
      <c r="A60" s="274"/>
      <c r="B60" s="274"/>
      <c r="C60" s="274"/>
      <c r="D60" s="274"/>
      <c r="F60" s="274"/>
      <c r="G60" s="274"/>
      <c r="H60" s="274"/>
      <c r="I60" s="274"/>
      <c r="J60" s="274"/>
      <c r="K60" s="274"/>
      <c r="M60" s="274"/>
      <c r="N60" s="274"/>
      <c r="O60" s="274"/>
      <c r="P60" s="274"/>
      <c r="Q60" s="274"/>
      <c r="R60" s="274"/>
      <c r="S60" s="274"/>
      <c r="T60" s="274"/>
      <c r="U60" s="274"/>
    </row>
    <row r="61" spans="1:21">
      <c r="A61" s="274"/>
      <c r="B61" s="274"/>
      <c r="C61" s="274"/>
      <c r="D61" s="274"/>
      <c r="F61" s="274"/>
      <c r="G61" s="274"/>
      <c r="H61" s="274"/>
      <c r="I61" s="274"/>
      <c r="J61" s="274"/>
      <c r="K61" s="274"/>
      <c r="M61" s="274"/>
      <c r="N61" s="274"/>
      <c r="O61" s="274"/>
      <c r="P61" s="274"/>
      <c r="Q61" s="274"/>
      <c r="R61" s="274"/>
      <c r="S61" s="274"/>
      <c r="T61" s="274"/>
      <c r="U61" s="274"/>
    </row>
    <row r="62" spans="1:21">
      <c r="A62" s="274"/>
      <c r="B62" s="274"/>
      <c r="C62" s="274"/>
      <c r="D62" s="274"/>
      <c r="F62" s="274"/>
      <c r="G62" s="274"/>
      <c r="H62" s="274"/>
      <c r="I62" s="274"/>
      <c r="J62" s="274"/>
      <c r="K62" s="274"/>
      <c r="M62" s="274"/>
      <c r="N62" s="274"/>
      <c r="O62" s="274"/>
      <c r="P62" s="274"/>
      <c r="Q62" s="274"/>
      <c r="R62" s="274"/>
      <c r="S62" s="274"/>
      <c r="T62" s="274"/>
      <c r="U62" s="274"/>
    </row>
    <row r="63" spans="1:21">
      <c r="A63" s="274"/>
      <c r="B63" s="274"/>
      <c r="C63" s="274"/>
      <c r="D63" s="274"/>
      <c r="F63" s="274"/>
      <c r="G63" s="274"/>
      <c r="H63" s="274"/>
      <c r="I63" s="274"/>
      <c r="J63" s="274"/>
      <c r="K63" s="274"/>
      <c r="M63" s="274"/>
      <c r="N63" s="274"/>
      <c r="O63" s="274"/>
      <c r="P63" s="274"/>
      <c r="Q63" s="274"/>
      <c r="R63" s="274"/>
      <c r="S63" s="274"/>
      <c r="T63" s="274"/>
      <c r="U63" s="27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6"/>
  <sheetViews>
    <sheetView zoomScale="80" zoomScaleNormal="80" zoomScalePageLayoutView="80" workbookViewId="0">
      <selection activeCell="A12" sqref="A12"/>
    </sheetView>
  </sheetViews>
  <sheetFormatPr defaultColWidth="8.85546875" defaultRowHeight="15"/>
  <cols>
    <col min="1" max="1" width="15.42578125" style="28" customWidth="1"/>
    <col min="2" max="2" width="24.42578125" style="28" bestFit="1" customWidth="1"/>
    <col min="3" max="3" width="18.85546875" style="28" bestFit="1" customWidth="1"/>
    <col min="4" max="4" width="21.7109375" style="28" bestFit="1" customWidth="1"/>
    <col min="5" max="5" width="8.85546875" style="28"/>
    <col min="6" max="6" width="19.42578125" style="28" bestFit="1" customWidth="1"/>
    <col min="7" max="7" width="18.140625" style="28" bestFit="1" customWidth="1"/>
    <col min="8" max="8" width="16.7109375" style="28" bestFit="1" customWidth="1"/>
    <col min="9" max="9" width="19.42578125" style="28" bestFit="1" customWidth="1"/>
    <col min="10" max="10" width="21.7109375" style="28" bestFit="1" customWidth="1"/>
    <col min="11" max="11" width="8.85546875" style="28"/>
    <col min="12" max="13" width="28.42578125" style="28" bestFit="1" customWidth="1"/>
    <col min="14" max="14" width="17.85546875" style="28" bestFit="1" customWidth="1"/>
    <col min="15" max="15" width="17.7109375" style="28" bestFit="1" customWidth="1"/>
    <col min="16" max="16" width="19.28515625" style="28" bestFit="1" customWidth="1"/>
    <col min="17" max="16384" width="8.85546875" style="28"/>
  </cols>
  <sheetData>
    <row r="1" spans="1:15">
      <c r="A1" s="181" t="s">
        <v>572</v>
      </c>
      <c r="B1" s="177"/>
      <c r="C1" s="177"/>
      <c r="D1" s="177"/>
      <c r="E1" s="177"/>
      <c r="F1" s="177"/>
      <c r="G1" s="177"/>
      <c r="H1" s="177"/>
      <c r="I1" s="177"/>
      <c r="J1" s="177"/>
      <c r="L1" s="562" t="s">
        <v>35</v>
      </c>
      <c r="M1" s="562"/>
      <c r="N1" s="562"/>
      <c r="O1" s="562"/>
    </row>
    <row r="2" spans="1:15">
      <c r="A2" s="28" t="s">
        <v>0</v>
      </c>
      <c r="B2" s="28" t="s">
        <v>1</v>
      </c>
      <c r="C2" s="28" t="s">
        <v>2</v>
      </c>
      <c r="D2" s="28" t="s">
        <v>3</v>
      </c>
      <c r="F2" s="28" t="s">
        <v>8</v>
      </c>
      <c r="G2" s="28" t="s">
        <v>4</v>
      </c>
      <c r="H2" s="28" t="s">
        <v>5</v>
      </c>
      <c r="I2" s="28" t="s">
        <v>6</v>
      </c>
      <c r="J2" s="28" t="s">
        <v>7</v>
      </c>
      <c r="L2" s="182" t="s">
        <v>12</v>
      </c>
      <c r="M2" s="183" t="s">
        <v>9</v>
      </c>
      <c r="N2" s="183" t="s">
        <v>5</v>
      </c>
      <c r="O2" s="184" t="s">
        <v>13</v>
      </c>
    </row>
    <row r="3" spans="1:15">
      <c r="A3" s="28">
        <v>1</v>
      </c>
      <c r="B3" s="13">
        <f>$F$3*$G$3</f>
        <v>750000000</v>
      </c>
      <c r="C3" s="9">
        <f>1/(1+$H$3/4)^A3</f>
        <v>0.98522167487684742</v>
      </c>
      <c r="D3" s="13">
        <f>C3*B3</f>
        <v>738916256.15763557</v>
      </c>
      <c r="E3" s="13"/>
      <c r="F3" s="8">
        <v>0.06</v>
      </c>
      <c r="G3" s="13">
        <v>12500000000</v>
      </c>
      <c r="H3" s="10">
        <f>F3</f>
        <v>0.06</v>
      </c>
      <c r="I3" s="13">
        <v>12500000000</v>
      </c>
      <c r="J3" s="13">
        <f>SUM(D3:D7)</f>
        <v>15190237797.288532</v>
      </c>
      <c r="L3" s="28" t="str">
        <f>A1</f>
        <v>Fairfax Debenture</v>
      </c>
      <c r="M3" s="13">
        <f>G3</f>
        <v>12500000000</v>
      </c>
      <c r="N3" s="16">
        <f>H10</f>
        <v>0.06</v>
      </c>
      <c r="O3" s="10">
        <f>(M3*N3)/$M$9</f>
        <v>0.06</v>
      </c>
    </row>
    <row r="4" spans="1:15" s="473" customFormat="1">
      <c r="A4" s="473">
        <v>2</v>
      </c>
      <c r="B4" s="13">
        <f>$F$3*$G$3</f>
        <v>750000000</v>
      </c>
      <c r="C4" s="9">
        <f>1/(1+$H$3/4)^A4</f>
        <v>0.9706617486471405</v>
      </c>
      <c r="D4" s="13">
        <f>C4*B4</f>
        <v>727996311.48535538</v>
      </c>
      <c r="E4" s="13"/>
      <c r="F4" s="446"/>
      <c r="G4" s="13"/>
      <c r="H4" s="10"/>
      <c r="I4" s="13"/>
      <c r="J4" s="13"/>
      <c r="M4" s="13"/>
      <c r="N4" s="16"/>
      <c r="O4" s="10"/>
    </row>
    <row r="5" spans="1:15" s="473" customFormat="1">
      <c r="A5" s="473">
        <v>3</v>
      </c>
      <c r="B5" s="13">
        <f>$F$3*$G$3</f>
        <v>750000000</v>
      </c>
      <c r="C5" s="9">
        <f>1/(1+$H$3/4)^A5</f>
        <v>0.95631699374102519</v>
      </c>
      <c r="D5" s="13">
        <f>C5*B5</f>
        <v>717237745.30576885</v>
      </c>
      <c r="E5" s="13"/>
      <c r="F5" s="446"/>
      <c r="G5" s="13" t="s">
        <v>573</v>
      </c>
      <c r="H5" s="10"/>
      <c r="I5" s="13"/>
      <c r="J5" s="13"/>
      <c r="M5" s="13"/>
      <c r="N5" s="16"/>
      <c r="O5" s="10"/>
    </row>
    <row r="6" spans="1:15" s="473" customFormat="1">
      <c r="A6" s="473">
        <v>4</v>
      </c>
      <c r="B6" s="13">
        <f>$F$3*$G$3</f>
        <v>750000000</v>
      </c>
      <c r="C6" s="9">
        <f>1/(1+$H$3/4)^A6</f>
        <v>0.94218423028672449</v>
      </c>
      <c r="D6" s="13">
        <f>C6*B6</f>
        <v>706638172.71504343</v>
      </c>
      <c r="E6" s="13"/>
      <c r="F6" s="446"/>
      <c r="G6" s="13">
        <v>17000000000</v>
      </c>
      <c r="H6" s="10"/>
      <c r="I6" s="13"/>
      <c r="J6" s="13"/>
      <c r="M6" s="13"/>
      <c r="N6" s="16"/>
      <c r="O6" s="10"/>
    </row>
    <row r="7" spans="1:15" s="473" customFormat="1">
      <c r="A7" s="473">
        <v>5</v>
      </c>
      <c r="B7" s="13">
        <f>$F$3*$G$3+G3</f>
        <v>13250000000</v>
      </c>
      <c r="C7" s="9">
        <f>1/(1+$H$3/4)^A7</f>
        <v>0.92826032540563996</v>
      </c>
      <c r="D7" s="13">
        <f>C7*B7</f>
        <v>12299449311.624729</v>
      </c>
      <c r="E7" s="13"/>
      <c r="F7" s="446"/>
      <c r="G7" s="13"/>
      <c r="H7" s="10"/>
      <c r="I7" s="13"/>
      <c r="J7" s="13"/>
      <c r="M7" s="13"/>
      <c r="N7" s="16"/>
      <c r="O7" s="10"/>
    </row>
    <row r="8" spans="1:15">
      <c r="B8" s="13"/>
      <c r="C8" s="9"/>
      <c r="D8" s="13"/>
      <c r="E8" s="13"/>
      <c r="F8" s="7"/>
      <c r="G8" s="13"/>
      <c r="H8" s="10"/>
      <c r="I8" s="13"/>
      <c r="J8" s="13"/>
    </row>
    <row r="9" spans="1:15" s="473" customFormat="1">
      <c r="B9" s="13"/>
      <c r="C9" s="9"/>
      <c r="D9" s="13"/>
      <c r="E9" s="13"/>
      <c r="F9" s="7"/>
      <c r="G9" s="13"/>
      <c r="H9" s="10"/>
      <c r="I9" s="13"/>
      <c r="J9" s="13"/>
      <c r="L9" s="217" t="s">
        <v>14</v>
      </c>
      <c r="M9" s="218">
        <f>SUM(M3:M7)</f>
        <v>12500000000</v>
      </c>
      <c r="N9" s="217"/>
      <c r="O9" s="219">
        <f>SUM(O3:O7)</f>
        <v>0.06</v>
      </c>
    </row>
    <row r="10" spans="1:15">
      <c r="B10" s="13"/>
      <c r="C10" s="9"/>
      <c r="D10" s="13"/>
      <c r="E10" s="13"/>
      <c r="F10" s="7"/>
      <c r="G10" s="13" t="s">
        <v>11</v>
      </c>
      <c r="H10" s="14">
        <f>H3</f>
        <v>0.06</v>
      </c>
      <c r="I10" s="13"/>
      <c r="J10" s="13"/>
    </row>
    <row r="11" spans="1:15">
      <c r="E11" s="13"/>
      <c r="F11" s="7"/>
      <c r="I11" s="13"/>
      <c r="J11" s="13"/>
    </row>
    <row r="12" spans="1:15">
      <c r="A12" s="127" t="s">
        <v>580</v>
      </c>
      <c r="B12" s="126"/>
      <c r="C12" s="126"/>
      <c r="D12" s="126"/>
      <c r="E12" s="126"/>
      <c r="F12" s="126"/>
      <c r="G12" s="126"/>
      <c r="H12" s="126"/>
      <c r="I12" s="126"/>
      <c r="J12" s="125"/>
    </row>
    <row r="13" spans="1:15">
      <c r="A13" s="1"/>
      <c r="B13" s="2"/>
      <c r="C13" s="2"/>
      <c r="D13" s="2"/>
      <c r="E13" s="2"/>
      <c r="F13" s="2"/>
      <c r="G13" s="2"/>
      <c r="H13" s="2"/>
      <c r="I13" s="2"/>
      <c r="J13" s="3"/>
    </row>
    <row r="14" spans="1:15">
      <c r="A14" s="4"/>
      <c r="B14" s="5"/>
      <c r="C14" s="5"/>
      <c r="D14" s="5"/>
      <c r="E14" s="5"/>
      <c r="F14" s="5"/>
      <c r="G14" s="5"/>
      <c r="H14" s="5"/>
      <c r="I14" s="5"/>
      <c r="J14" s="6"/>
    </row>
    <row r="27" spans="11:11">
      <c r="K27" s="11"/>
    </row>
    <row r="56" spans="13:13">
      <c r="M56" s="12"/>
    </row>
    <row r="57" spans="13:13">
      <c r="M57" s="8"/>
    </row>
    <row r="66" spans="11:11">
      <c r="K66" s="13"/>
    </row>
  </sheetData>
  <mergeCells count="1">
    <mergeCell ref="L1:O1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M69"/>
  <sheetViews>
    <sheetView workbookViewId="0">
      <selection activeCell="F19" sqref="F19"/>
    </sheetView>
  </sheetViews>
  <sheetFormatPr defaultColWidth="8.85546875" defaultRowHeight="15"/>
  <cols>
    <col min="1" max="1" width="10.140625" bestFit="1" customWidth="1"/>
  </cols>
  <sheetData>
    <row r="1" spans="1:13">
      <c r="A1" t="s">
        <v>123</v>
      </c>
      <c r="B1" t="s">
        <v>406</v>
      </c>
      <c r="C1" t="s">
        <v>407</v>
      </c>
    </row>
    <row r="2" spans="1:13">
      <c r="A2" s="474">
        <f>'Cost of Equity'!A40</f>
        <v>39871</v>
      </c>
      <c r="B2">
        <f>'Cost of Equity'!I40</f>
        <v>-0.26230240111670883</v>
      </c>
      <c r="C2">
        <f>'Cost of Equity'!AM40</f>
        <v>-0.14996434664657296</v>
      </c>
      <c r="E2" s="473" t="s">
        <v>346</v>
      </c>
      <c r="F2" s="473"/>
      <c r="G2" s="473"/>
      <c r="H2" s="473"/>
      <c r="I2" s="473"/>
      <c r="J2" s="473"/>
      <c r="K2" s="473"/>
      <c r="L2" s="473"/>
      <c r="M2" s="473"/>
    </row>
    <row r="3" spans="1:13" ht="15.75" thickBot="1">
      <c r="A3" s="474">
        <f>'Cost of Equity'!A41</f>
        <v>39903</v>
      </c>
      <c r="B3" s="473">
        <f>'Cost of Equity'!I41</f>
        <v>0.11932924807946083</v>
      </c>
      <c r="C3" s="473">
        <f>'Cost of Equity'!AM41</f>
        <v>0.16002084681376225</v>
      </c>
      <c r="E3" s="473"/>
      <c r="F3" s="473"/>
      <c r="G3" s="473"/>
      <c r="H3" s="473"/>
      <c r="I3" s="473"/>
      <c r="J3" s="473"/>
      <c r="K3" s="473"/>
      <c r="L3" s="473"/>
      <c r="M3" s="473"/>
    </row>
    <row r="4" spans="1:13">
      <c r="A4" s="474">
        <f>'Cost of Equity'!A42</f>
        <v>39933</v>
      </c>
      <c r="B4" s="473">
        <f>'Cost of Equity'!I42</f>
        <v>0.18059434241407943</v>
      </c>
      <c r="C4" s="473">
        <f>'Cost of Equity'!AM42</f>
        <v>0.37987285616355415</v>
      </c>
      <c r="E4" s="445" t="s">
        <v>347</v>
      </c>
      <c r="F4" s="445"/>
      <c r="G4" s="473"/>
      <c r="H4" s="473"/>
      <c r="I4" s="473"/>
      <c r="J4" s="473"/>
      <c r="K4" s="473"/>
      <c r="L4" s="473"/>
      <c r="M4" s="473"/>
    </row>
    <row r="5" spans="1:13">
      <c r="A5" s="474">
        <f>'Cost of Equity'!A43</f>
        <v>39962</v>
      </c>
      <c r="B5" s="473">
        <f>'Cost of Equity'!I43</f>
        <v>4.0771176666554824E-2</v>
      </c>
      <c r="C5" s="473">
        <f>'Cost of Equity'!AM43</f>
        <v>-0.15285597946170862</v>
      </c>
      <c r="E5" s="442" t="s">
        <v>348</v>
      </c>
      <c r="F5" s="442">
        <v>0.59631363849266883</v>
      </c>
      <c r="G5" s="473"/>
      <c r="H5" s="473"/>
      <c r="I5" s="473"/>
      <c r="J5" s="473"/>
      <c r="K5" s="473"/>
      <c r="L5" s="473"/>
      <c r="M5" s="473"/>
    </row>
    <row r="6" spans="1:13">
      <c r="A6" s="474">
        <f>'Cost of Equity'!A44</f>
        <v>39993</v>
      </c>
      <c r="B6" s="473">
        <f>'Cost of Equity'!I44</f>
        <v>-2.7472191223026195E-2</v>
      </c>
      <c r="C6" s="473">
        <f>'Cost of Equity'!AM44</f>
        <v>-7.1709532378123261E-2</v>
      </c>
      <c r="E6" s="442" t="s">
        <v>349</v>
      </c>
      <c r="F6" s="442">
        <v>0.35558995545236527</v>
      </c>
      <c r="G6" s="473"/>
      <c r="H6" s="473"/>
      <c r="I6" s="473"/>
      <c r="J6" s="473"/>
      <c r="K6" s="473"/>
      <c r="L6" s="473"/>
      <c r="M6" s="473"/>
    </row>
    <row r="7" spans="1:13">
      <c r="A7" s="474">
        <f>'Cost of Equity'!A45</f>
        <v>40025</v>
      </c>
      <c r="B7" s="473">
        <f>'Cost of Equity'!I45</f>
        <v>7.3848543636432631E-2</v>
      </c>
      <c r="C7" s="473">
        <f>'Cost of Equity'!AM45</f>
        <v>-9.6283923852921546E-2</v>
      </c>
      <c r="E7" s="442" t="s">
        <v>350</v>
      </c>
      <c r="F7" s="442">
        <v>0.34582616689861323</v>
      </c>
      <c r="G7" s="473"/>
      <c r="H7" s="473"/>
      <c r="I7" s="473"/>
      <c r="J7" s="473"/>
      <c r="K7" s="473"/>
      <c r="L7" s="473"/>
      <c r="M7" s="473"/>
    </row>
    <row r="8" spans="1:13">
      <c r="A8" s="474">
        <f>'Cost of Equity'!A46</f>
        <v>40056</v>
      </c>
      <c r="B8" s="473">
        <f>'Cost of Equity'!I46</f>
        <v>8.0156926126597555E-2</v>
      </c>
      <c r="C8" s="473">
        <f>'Cost of Equity'!AM46</f>
        <v>0.15953014559188375</v>
      </c>
      <c r="E8" s="442" t="s">
        <v>351</v>
      </c>
      <c r="F8" s="442">
        <v>8.0416692057229969E-2</v>
      </c>
      <c r="G8" s="473"/>
      <c r="H8" s="473"/>
      <c r="I8" s="473"/>
      <c r="J8" s="473"/>
      <c r="K8" s="473"/>
      <c r="L8" s="473"/>
      <c r="M8" s="473"/>
    </row>
    <row r="9" spans="1:13" ht="15.75" thickBot="1">
      <c r="A9" s="474">
        <f>'Cost of Equity'!A47</f>
        <v>40086</v>
      </c>
      <c r="B9" s="473">
        <f>'Cost of Equity'!I47</f>
        <v>9.0250987694882184E-2</v>
      </c>
      <c r="C9" s="473">
        <f>'Cost of Equity'!AM47</f>
        <v>5.5691359628415718E-2</v>
      </c>
      <c r="E9" s="443" t="s">
        <v>352</v>
      </c>
      <c r="F9" s="443">
        <v>68</v>
      </c>
      <c r="G9" s="473"/>
      <c r="H9" s="473"/>
      <c r="I9" s="473"/>
      <c r="J9" s="473"/>
      <c r="K9" s="473"/>
      <c r="L9" s="473"/>
      <c r="M9" s="473"/>
    </row>
    <row r="10" spans="1:13">
      <c r="A10" s="474">
        <f>'Cost of Equity'!A48</f>
        <v>40116</v>
      </c>
      <c r="B10" s="473">
        <f>'Cost of Equity'!I48</f>
        <v>-8.9077510158436929E-2</v>
      </c>
      <c r="C10" s="473">
        <f>'Cost of Equity'!AM48</f>
        <v>0.12711302409544992</v>
      </c>
      <c r="E10" s="473"/>
      <c r="F10" s="473"/>
      <c r="G10" s="473"/>
      <c r="H10" s="473"/>
      <c r="I10" s="473"/>
      <c r="J10" s="473"/>
      <c r="K10" s="473"/>
      <c r="L10" s="473"/>
      <c r="M10" s="473"/>
    </row>
    <row r="11" spans="1:13" ht="15.75" thickBot="1">
      <c r="A11" s="474">
        <f>'Cost of Equity'!A49</f>
        <v>40147</v>
      </c>
      <c r="B11" s="473">
        <f>'Cost of Equity'!I49</f>
        <v>5.31107012224405E-2</v>
      </c>
      <c r="C11" s="473">
        <f>'Cost of Equity'!AM49</f>
        <v>4.0694690393234541E-2</v>
      </c>
      <c r="E11" s="473" t="s">
        <v>353</v>
      </c>
      <c r="F11" s="473"/>
      <c r="G11" s="473"/>
      <c r="H11" s="473"/>
      <c r="I11" s="473"/>
      <c r="J11" s="473"/>
      <c r="K11" s="473"/>
      <c r="L11" s="473"/>
      <c r="M11" s="473"/>
    </row>
    <row r="12" spans="1:13">
      <c r="A12" s="474">
        <f>'Cost of Equity'!A50</f>
        <v>40178</v>
      </c>
      <c r="B12" s="473">
        <f>'Cost of Equity'!I50</f>
        <v>9.192964004899723E-2</v>
      </c>
      <c r="C12" s="473">
        <f>'Cost of Equity'!AM50</f>
        <v>0.1078783181999052</v>
      </c>
      <c r="E12" s="444"/>
      <c r="F12" s="444" t="s">
        <v>354</v>
      </c>
      <c r="G12" s="444" t="s">
        <v>355</v>
      </c>
      <c r="H12" s="444" t="s">
        <v>356</v>
      </c>
      <c r="I12" s="444" t="s">
        <v>357</v>
      </c>
      <c r="J12" s="444" t="s">
        <v>358</v>
      </c>
      <c r="K12" s="473"/>
      <c r="L12" s="473"/>
      <c r="M12" s="473"/>
    </row>
    <row r="13" spans="1:13">
      <c r="A13" s="474">
        <f>'Cost of Equity'!A51</f>
        <v>40207</v>
      </c>
      <c r="B13" s="473">
        <f>'Cost of Equity'!I51</f>
        <v>-4.2884783188096215E-2</v>
      </c>
      <c r="C13" s="473">
        <f>'Cost of Equity'!AM51</f>
        <v>-7.6472978784573972E-2</v>
      </c>
      <c r="E13" s="442" t="s">
        <v>359</v>
      </c>
      <c r="F13" s="442">
        <v>1</v>
      </c>
      <c r="G13" s="442">
        <v>0.23551768719055888</v>
      </c>
      <c r="H13" s="442">
        <v>0.23551768719055888</v>
      </c>
      <c r="I13" s="442">
        <v>36.419260156521794</v>
      </c>
      <c r="J13" s="442">
        <v>8.0629911024740929E-8</v>
      </c>
      <c r="K13" s="473"/>
      <c r="L13" s="473"/>
      <c r="M13" s="473"/>
    </row>
    <row r="14" spans="1:13">
      <c r="A14" s="474">
        <f>'Cost of Equity'!A52</f>
        <v>40235</v>
      </c>
      <c r="B14" s="473">
        <f>'Cost of Equity'!I52</f>
        <v>3.6905313920108929E-2</v>
      </c>
      <c r="C14" s="473">
        <f>'Cost of Equity'!AM52</f>
        <v>1.5648356968139113E-2</v>
      </c>
      <c r="E14" s="442" t="s">
        <v>360</v>
      </c>
      <c r="F14" s="442">
        <v>66</v>
      </c>
      <c r="G14" s="442">
        <v>0.4268117278542054</v>
      </c>
      <c r="H14" s="442">
        <v>6.4668443614273544E-3</v>
      </c>
      <c r="I14" s="442"/>
      <c r="J14" s="442"/>
      <c r="K14" s="473"/>
      <c r="L14" s="473"/>
      <c r="M14" s="473"/>
    </row>
    <row r="15" spans="1:13" ht="15.75" thickBot="1">
      <c r="A15" s="474">
        <f>'Cost of Equity'!A53</f>
        <v>40268</v>
      </c>
      <c r="B15" s="473">
        <f>'Cost of Equity'!I53</f>
        <v>6.4415505968756781E-2</v>
      </c>
      <c r="C15" s="473">
        <f>'Cost of Equity'!AM53</f>
        <v>6.0524621816434837E-2</v>
      </c>
      <c r="E15" s="443" t="s">
        <v>81</v>
      </c>
      <c r="F15" s="443">
        <v>67</v>
      </c>
      <c r="G15" s="443">
        <v>0.66232941504476428</v>
      </c>
      <c r="H15" s="443"/>
      <c r="I15" s="443"/>
      <c r="J15" s="443"/>
      <c r="K15" s="473"/>
      <c r="L15" s="473"/>
      <c r="M15" s="473"/>
    </row>
    <row r="16" spans="1:13" ht="15.75" thickBot="1">
      <c r="A16" s="474">
        <f>'Cost of Equity'!A54</f>
        <v>40298</v>
      </c>
      <c r="B16" s="473">
        <f>'Cost of Equity'!I54</f>
        <v>-4.5255191984708149E-2</v>
      </c>
      <c r="C16" s="473">
        <f>'Cost of Equity'!AM54</f>
        <v>4.0533741507650788E-2</v>
      </c>
      <c r="E16" s="473"/>
      <c r="F16" s="473"/>
      <c r="G16" s="473"/>
      <c r="H16" s="473"/>
      <c r="I16" s="473"/>
      <c r="J16" s="473"/>
      <c r="K16" s="473"/>
      <c r="L16" s="473"/>
      <c r="M16" s="473"/>
    </row>
    <row r="17" spans="1:13">
      <c r="A17" s="474">
        <f>'Cost of Equity'!A55</f>
        <v>40329</v>
      </c>
      <c r="B17" s="473">
        <f>'Cost of Equity'!I55</f>
        <v>2.9755833186030169E-2</v>
      </c>
      <c r="C17" s="473">
        <f>'Cost of Equity'!AM55</f>
        <v>-9.4630986198300671E-3</v>
      </c>
      <c r="E17" s="444"/>
      <c r="F17" s="444" t="s">
        <v>361</v>
      </c>
      <c r="G17" s="444" t="s">
        <v>351</v>
      </c>
      <c r="H17" s="444" t="s">
        <v>362</v>
      </c>
      <c r="I17" s="444" t="s">
        <v>363</v>
      </c>
      <c r="J17" s="444" t="s">
        <v>364</v>
      </c>
      <c r="K17" s="444" t="s">
        <v>365</v>
      </c>
      <c r="L17" s="444" t="s">
        <v>366</v>
      </c>
      <c r="M17" s="444" t="s">
        <v>367</v>
      </c>
    </row>
    <row r="18" spans="1:13">
      <c r="A18" s="474">
        <f>'Cost of Equity'!A56</f>
        <v>40359</v>
      </c>
      <c r="B18" s="473">
        <f>'Cost of Equity'!I56</f>
        <v>-3.7709955017587601E-2</v>
      </c>
      <c r="C18" s="473">
        <f>'Cost of Equity'!AM56</f>
        <v>-1.387748544030362E-2</v>
      </c>
      <c r="E18" s="442" t="s">
        <v>368</v>
      </c>
      <c r="F18" s="442">
        <v>2.2324441445892899E-2</v>
      </c>
      <c r="G18" s="442">
        <v>1.0025089336677865E-2</v>
      </c>
      <c r="H18" s="442">
        <v>2.2268571078181352</v>
      </c>
      <c r="I18" s="442">
        <v>2.9373834789292595E-2</v>
      </c>
      <c r="J18" s="442">
        <v>2.3087047794636377E-3</v>
      </c>
      <c r="K18" s="442">
        <v>4.2340178112322158E-2</v>
      </c>
      <c r="L18" s="442">
        <v>2.3087047794636377E-3</v>
      </c>
      <c r="M18" s="442">
        <v>4.2340178112322158E-2</v>
      </c>
    </row>
    <row r="19" spans="1:13" ht="15.75" thickBot="1">
      <c r="A19" s="474">
        <f>'Cost of Equity'!A57</f>
        <v>40389</v>
      </c>
      <c r="B19" s="473">
        <f>'Cost of Equity'!I57</f>
        <v>9.0006769907380491E-2</v>
      </c>
      <c r="C19" s="473">
        <f>'Cost of Equity'!AM57</f>
        <v>0.20319468017423337</v>
      </c>
      <c r="E19" s="443" t="s">
        <v>369</v>
      </c>
      <c r="F19" s="443">
        <v>0.89505986464533638</v>
      </c>
      <c r="G19" s="443">
        <v>0.14831549442573086</v>
      </c>
      <c r="H19" s="443">
        <v>6.0348372104408723</v>
      </c>
      <c r="I19" s="443">
        <v>8.0629911024741365E-8</v>
      </c>
      <c r="J19" s="443">
        <v>0.59893842569560218</v>
      </c>
      <c r="K19" s="443">
        <v>1.1911813035950707</v>
      </c>
      <c r="L19" s="443">
        <v>0.59893842569560218</v>
      </c>
      <c r="M19" s="443">
        <v>1.1911813035950707</v>
      </c>
    </row>
    <row r="20" spans="1:13">
      <c r="A20" s="474">
        <f>'Cost of Equity'!A58</f>
        <v>40421</v>
      </c>
      <c r="B20" s="473">
        <f>'Cost of Equity'!I58</f>
        <v>-1.2385438013695058E-2</v>
      </c>
      <c r="C20" s="473">
        <f>'Cost of Equity'!AM58</f>
        <v>-5.4875018869719898E-2</v>
      </c>
    </row>
    <row r="21" spans="1:13">
      <c r="A21" s="474">
        <f>'Cost of Equity'!A59</f>
        <v>40451</v>
      </c>
      <c r="B21" s="473">
        <f>'Cost of Equity'!I59</f>
        <v>2.8220625252513353E-2</v>
      </c>
      <c r="C21" s="473">
        <f>'Cost of Equity'!AM59</f>
        <v>0.1309370037033504</v>
      </c>
    </row>
    <row r="22" spans="1:13">
      <c r="A22" s="474">
        <f>'Cost of Equity'!A60</f>
        <v>40480</v>
      </c>
      <c r="B22" s="473">
        <f>'Cost of Equity'!I60</f>
        <v>7.6210499520714528E-2</v>
      </c>
      <c r="C22" s="473">
        <f>'Cost of Equity'!AM60</f>
        <v>-4.8453196716553695E-2</v>
      </c>
    </row>
    <row r="23" spans="1:13">
      <c r="A23" s="474">
        <f>'Cost of Equity'!A61</f>
        <v>40512</v>
      </c>
      <c r="B23" s="473">
        <f>'Cost of Equity'!I61</f>
        <v>3.7718481345441021E-2</v>
      </c>
      <c r="C23" s="473">
        <f>'Cost of Equity'!AM61</f>
        <v>-4.3218206780605416E-2</v>
      </c>
    </row>
    <row r="24" spans="1:13">
      <c r="A24" s="474">
        <f>'Cost of Equity'!A62</f>
        <v>40542</v>
      </c>
      <c r="B24" s="473">
        <f>'Cost of Equity'!I62</f>
        <v>4.191767668993418E-2</v>
      </c>
      <c r="C24" s="473">
        <f>'Cost of Equity'!AM62</f>
        <v>0.13373067733630081</v>
      </c>
    </row>
    <row r="25" spans="1:13">
      <c r="A25" s="474">
        <f>'Cost of Equity'!A63</f>
        <v>40574</v>
      </c>
      <c r="B25" s="473">
        <f>'Cost of Equity'!I63</f>
        <v>6.109740027209546E-3</v>
      </c>
      <c r="C25" s="473">
        <f>'Cost of Equity'!AM63</f>
        <v>9.9042518423408527E-3</v>
      </c>
    </row>
    <row r="26" spans="1:13">
      <c r="A26" s="474">
        <f>'Cost of Equity'!A64</f>
        <v>40602</v>
      </c>
      <c r="B26" s="473">
        <f>'Cost of Equity'!I64</f>
        <v>-5.906995464956607E-3</v>
      </c>
      <c r="C26" s="473">
        <f>'Cost of Equity'!AM64</f>
        <v>3.2944001726172831E-2</v>
      </c>
    </row>
    <row r="27" spans="1:13">
      <c r="A27" s="474">
        <f>'Cost of Equity'!A65</f>
        <v>40633</v>
      </c>
      <c r="B27" s="473">
        <f>'Cost of Equity'!I65</f>
        <v>3.6587829621655139E-2</v>
      </c>
      <c r="C27" s="473">
        <f>'Cost of Equity'!AM65</f>
        <v>-6.0900199026964121E-2</v>
      </c>
    </row>
    <row r="28" spans="1:13">
      <c r="A28" s="474">
        <f>'Cost of Equity'!A66</f>
        <v>40662</v>
      </c>
      <c r="B28" s="473">
        <f>'Cost of Equity'!I66</f>
        <v>1.7662856365521975E-2</v>
      </c>
      <c r="C28" s="473">
        <f>'Cost of Equity'!AM66</f>
        <v>0.11478854029048213</v>
      </c>
    </row>
    <row r="29" spans="1:13">
      <c r="A29" s="474">
        <f>'Cost of Equity'!A67</f>
        <v>40694</v>
      </c>
      <c r="B29" s="473">
        <f>'Cost of Equity'!I67</f>
        <v>-6.7814977665773338E-3</v>
      </c>
      <c r="C29" s="473">
        <f>'Cost of Equity'!AM67</f>
        <v>-3.1458809004096012E-3</v>
      </c>
    </row>
    <row r="30" spans="1:13">
      <c r="A30" s="474">
        <f>'Cost of Equity'!A68</f>
        <v>40724</v>
      </c>
      <c r="B30" s="473">
        <f>'Cost of Equity'!I68</f>
        <v>3.7308061621481516E-2</v>
      </c>
      <c r="C30" s="473">
        <f>'Cost of Equity'!AM68</f>
        <v>6.5391355892843062E-2</v>
      </c>
    </row>
    <row r="31" spans="1:13">
      <c r="A31" s="474">
        <f>'Cost of Equity'!A69</f>
        <v>40753</v>
      </c>
      <c r="B31" s="473">
        <f>'Cost of Equity'!I69</f>
        <v>-0.10764252622975069</v>
      </c>
      <c r="C31" s="473">
        <f>'Cost of Equity'!AM69</f>
        <v>0.10667023582098137</v>
      </c>
    </row>
    <row r="32" spans="1:13">
      <c r="A32" s="474">
        <f>'Cost of Equity'!A70</f>
        <v>40786</v>
      </c>
      <c r="B32" s="473">
        <f>'Cost of Equity'!I70</f>
        <v>-0.1193717901832561</v>
      </c>
      <c r="C32" s="473">
        <f>'Cost of Equity'!AM70</f>
        <v>-0.16193001300400889</v>
      </c>
    </row>
    <row r="33" spans="1:3">
      <c r="A33" s="474">
        <f>'Cost of Equity'!A71</f>
        <v>40816</v>
      </c>
      <c r="B33" s="473">
        <f>'Cost of Equity'!I71</f>
        <v>-0.12714417548482571</v>
      </c>
      <c r="C33" s="473">
        <f>'Cost of Equity'!AM71</f>
        <v>-8.6356944664144591E-2</v>
      </c>
    </row>
    <row r="34" spans="1:3">
      <c r="A34" s="474">
        <f>'Cost of Equity'!A72</f>
        <v>40847</v>
      </c>
      <c r="B34" s="473">
        <f>'Cost of Equity'!I72</f>
        <v>0.12897549144580359</v>
      </c>
      <c r="C34" s="473">
        <f>'Cost of Equity'!AM72</f>
        <v>0.26216933226483452</v>
      </c>
    </row>
    <row r="35" spans="1:3">
      <c r="A35" s="474">
        <f>'Cost of Equity'!A73</f>
        <v>40877</v>
      </c>
      <c r="B35" s="473">
        <f>'Cost of Equity'!I73</f>
        <v>1.4660432128842812E-2</v>
      </c>
      <c r="C35" s="473">
        <f>'Cost of Equity'!AM73</f>
        <v>6.6463763253395952E-2</v>
      </c>
    </row>
    <row r="36" spans="1:3">
      <c r="A36" s="474">
        <f>'Cost of Equity'!A74</f>
        <v>40907</v>
      </c>
      <c r="B36" s="473">
        <f>'Cost of Equity'!I74</f>
        <v>2.6464672792487126E-2</v>
      </c>
      <c r="C36" s="473">
        <f>'Cost of Equity'!AM74</f>
        <v>6.539640769898796E-3</v>
      </c>
    </row>
    <row r="37" spans="1:3">
      <c r="A37" s="474">
        <f>'Cost of Equity'!A75</f>
        <v>40939</v>
      </c>
      <c r="B37" s="473">
        <f>'Cost of Equity'!I75</f>
        <v>0.10111969421754195</v>
      </c>
      <c r="C37" s="473">
        <f>'Cost of Equity'!AM75</f>
        <v>0.13697290816629984</v>
      </c>
    </row>
    <row r="38" spans="1:3">
      <c r="A38" s="474">
        <f>'Cost of Equity'!A76</f>
        <v>40968</v>
      </c>
      <c r="B38" s="473">
        <f>'Cost of Equity'!I76</f>
        <v>2.8634669317603209E-2</v>
      </c>
      <c r="C38" s="473">
        <f>'Cost of Equity'!AM76</f>
        <v>0.16499926214665925</v>
      </c>
    </row>
    <row r="39" spans="1:3">
      <c r="A39" s="474">
        <f>'Cost of Equity'!A77</f>
        <v>40998</v>
      </c>
      <c r="B39" s="473">
        <f>'Cost of Equity'!I77</f>
        <v>3.2027645227529433E-2</v>
      </c>
      <c r="C39" s="473">
        <f>'Cost of Equity'!AM77</f>
        <v>3.6927436088684505E-2</v>
      </c>
    </row>
    <row r="40" spans="1:3">
      <c r="A40" s="474">
        <f>'Cost of Equity'!A78</f>
        <v>41029</v>
      </c>
      <c r="B40" s="473">
        <f>'Cost of Equity'!I78</f>
        <v>-3.6447773864440111E-4</v>
      </c>
      <c r="C40" s="473">
        <f>'Cost of Equity'!AM78</f>
        <v>-1E-4</v>
      </c>
    </row>
    <row r="41" spans="1:3">
      <c r="A41" s="474">
        <f>'Cost of Equity'!A79</f>
        <v>41060</v>
      </c>
      <c r="B41" s="473">
        <f>'Cost of Equity'!I79</f>
        <v>-0.11055337625599485</v>
      </c>
      <c r="C41" s="473">
        <f>'Cost of Equity'!AM79</f>
        <v>-4.8387462135469933E-2</v>
      </c>
    </row>
    <row r="42" spans="1:3">
      <c r="A42" s="474">
        <f>'Cost of Equity'!A80</f>
        <v>41089</v>
      </c>
      <c r="B42" s="473">
        <f>'Cost of Equity'!I80</f>
        <v>9.1237508830096084E-2</v>
      </c>
      <c r="C42" s="473">
        <f>'Cost of Equity'!AM80</f>
        <v>6.6250862024112858E-2</v>
      </c>
    </row>
    <row r="43" spans="1:3">
      <c r="A43" s="474">
        <f>'Cost of Equity'!A81</f>
        <v>41121</v>
      </c>
      <c r="B43" s="473">
        <f>'Cost of Equity'!I81</f>
        <v>2.7180871430492761E-3</v>
      </c>
      <c r="C43" s="473">
        <f>'Cost of Equity'!AM81</f>
        <v>0.1111689523439925</v>
      </c>
    </row>
    <row r="44" spans="1:3">
      <c r="A44" s="474">
        <f>'Cost of Equity'!A82</f>
        <v>41152</v>
      </c>
      <c r="B44" s="473">
        <f>'Cost of Equity'!I82</f>
        <v>2.0686251473629989E-2</v>
      </c>
      <c r="C44" s="473">
        <f>'Cost of Equity'!AM82</f>
        <v>-3.7422662866324341E-2</v>
      </c>
    </row>
    <row r="45" spans="1:3">
      <c r="A45" s="474">
        <f>'Cost of Equity'!A83</f>
        <v>41180</v>
      </c>
      <c r="B45" s="473">
        <f>'Cost of Equity'!I83</f>
        <v>2.2756448179806991E-2</v>
      </c>
      <c r="C45" s="473">
        <f>'Cost of Equity'!AM83</f>
        <v>-9.7006881825013134E-3</v>
      </c>
    </row>
    <row r="46" spans="1:3">
      <c r="A46" s="474">
        <f>'Cost of Equity'!A84</f>
        <v>41213</v>
      </c>
      <c r="B46" s="473">
        <f>'Cost of Equity'!I84</f>
        <v>4.1627947884372275E-2</v>
      </c>
      <c r="C46" s="473">
        <f>'Cost of Equity'!AM84</f>
        <v>0.10822736238295558</v>
      </c>
    </row>
    <row r="47" spans="1:3">
      <c r="A47" s="474">
        <f>'Cost of Equity'!A85</f>
        <v>41243</v>
      </c>
      <c r="B47" s="473">
        <f>'Cost of Equity'!I85</f>
        <v>-9.9235817793200294E-4</v>
      </c>
      <c r="C47" s="473">
        <f>'Cost of Equity'!AM85</f>
        <v>0.10404786934205359</v>
      </c>
    </row>
    <row r="48" spans="1:3">
      <c r="A48" s="474">
        <f>'Cost of Equity'!A86</f>
        <v>41271</v>
      </c>
      <c r="B48" s="473">
        <f>'Cost of Equity'!I86</f>
        <v>4.4818824384294999E-2</v>
      </c>
      <c r="C48" s="473">
        <f>'Cost of Equity'!AM86</f>
        <v>5.158323395185993E-2</v>
      </c>
    </row>
    <row r="49" spans="1:3">
      <c r="A49" s="474">
        <f>'Cost of Equity'!A87</f>
        <v>41305</v>
      </c>
      <c r="B49" s="473">
        <f>'Cost of Equity'!I87</f>
        <v>4.8702823965801056E-2</v>
      </c>
      <c r="C49" s="473">
        <f>'Cost of Equity'!AM87</f>
        <v>6.6381077596908825E-2</v>
      </c>
    </row>
    <row r="50" spans="1:3">
      <c r="A50" s="474">
        <f>'Cost of Equity'!A88</f>
        <v>41333</v>
      </c>
      <c r="B50" s="473">
        <f>'Cost of Equity'!I88</f>
        <v>3.8715876060754793E-2</v>
      </c>
      <c r="C50" s="473">
        <f>'Cost of Equity'!AM88</f>
        <v>0.1529411096718124</v>
      </c>
    </row>
    <row r="51" spans="1:3">
      <c r="A51" s="474">
        <f>'Cost of Equity'!A89</f>
        <v>41361</v>
      </c>
      <c r="B51" s="473">
        <f>'Cost of Equity'!I89</f>
        <v>1.9326409255163875E-2</v>
      </c>
      <c r="C51" s="473">
        <f>'Cost of Equity'!AM89</f>
        <v>1.1019111482062114E-2</v>
      </c>
    </row>
    <row r="52" spans="1:3">
      <c r="A52" s="474">
        <f>'Cost of Equity'!A90</f>
        <v>41394</v>
      </c>
      <c r="B52" s="473">
        <f>'Cost of Equity'!I90</f>
        <v>-1.1107117054501353E-3</v>
      </c>
      <c r="C52" s="473">
        <f>'Cost of Equity'!AM90</f>
        <v>1.5887270903287436E-2</v>
      </c>
    </row>
    <row r="53" spans="1:3">
      <c r="A53" s="474">
        <f>'Cost of Equity'!A91</f>
        <v>41425</v>
      </c>
      <c r="B53" s="473">
        <f>'Cost of Equity'!I91</f>
        <v>3.2137325733552304E-2</v>
      </c>
      <c r="C53" s="473">
        <f>'Cost of Equity'!AM91</f>
        <v>0.15249487753061755</v>
      </c>
    </row>
    <row r="54" spans="1:3">
      <c r="A54" s="474">
        <f>'Cost of Equity'!A92</f>
        <v>41453</v>
      </c>
      <c r="B54" s="473">
        <f>'Cost of Equity'!I92</f>
        <v>-1.0516787128267754E-2</v>
      </c>
      <c r="C54" s="473">
        <f>'Cost of Equity'!AM92</f>
        <v>-8.1974703444281538E-2</v>
      </c>
    </row>
    <row r="55" spans="1:3">
      <c r="A55" s="474">
        <f>'Cost of Equity'!A93</f>
        <v>41486</v>
      </c>
      <c r="B55" s="473">
        <f>'Cost of Equity'!I93</f>
        <v>5.3951972695636057E-2</v>
      </c>
      <c r="C55" s="473">
        <f>'Cost of Equity'!AM93</f>
        <v>8.0183296703007612E-2</v>
      </c>
    </row>
    <row r="56" spans="1:3">
      <c r="A56" s="474">
        <f>'Cost of Equity'!A94</f>
        <v>41516</v>
      </c>
      <c r="B56" s="473">
        <f>'Cost of Equity'!I94</f>
        <v>4.2669776331156354E-3</v>
      </c>
      <c r="C56" s="473">
        <f>'Cost of Equity'!AM94</f>
        <v>1.1183896822482805E-2</v>
      </c>
    </row>
    <row r="57" spans="1:3">
      <c r="A57" s="474">
        <f>'Cost of Equity'!A95</f>
        <v>41547</v>
      </c>
      <c r="B57" s="473">
        <f>'Cost of Equity'!I95</f>
        <v>3.596782037062856E-2</v>
      </c>
      <c r="C57" s="473">
        <f>'Cost of Equity'!AM95</f>
        <v>6.6343693332923517E-2</v>
      </c>
    </row>
    <row r="58" spans="1:3">
      <c r="A58" s="474">
        <f>'Cost of Equity'!A96</f>
        <v>41578</v>
      </c>
      <c r="B58" s="473">
        <f>'Cost of Equity'!I96</f>
        <v>5.2230119281132387E-2</v>
      </c>
      <c r="C58" s="473">
        <f>'Cost of Equity'!AM96</f>
        <v>0.17377436287119633</v>
      </c>
    </row>
    <row r="59" spans="1:3">
      <c r="A59" s="474">
        <f>'Cost of Equity'!A97</f>
        <v>41607</v>
      </c>
      <c r="B59" s="473">
        <f>'Cost of Equity'!I97</f>
        <v>2.1216824194203256E-2</v>
      </c>
      <c r="C59" s="473">
        <f>'Cost of Equity'!AM97</f>
        <v>-6.311200092640524E-3</v>
      </c>
    </row>
    <row r="60" spans="1:3">
      <c r="A60" s="474">
        <f>'Cost of Equity'!A98</f>
        <v>41638</v>
      </c>
      <c r="B60" s="473">
        <f>'Cost of Equity'!I98</f>
        <v>1.4496386070982265E-2</v>
      </c>
      <c r="C60" s="473">
        <f>'Cost of Equity'!AM98</f>
        <v>9.3567017437090633E-3</v>
      </c>
    </row>
    <row r="61" spans="1:3">
      <c r="A61" s="474">
        <f>'Cost of Equity'!A99</f>
        <v>41670</v>
      </c>
      <c r="B61" s="473">
        <f>'Cost of Equity'!I99</f>
        <v>-2.2588213671424107E-2</v>
      </c>
      <c r="C61" s="473">
        <f>'Cost of Equity'!AM99</f>
        <v>-3.5913470860418052E-2</v>
      </c>
    </row>
    <row r="62" spans="1:3">
      <c r="A62" s="474">
        <f>'Cost of Equity'!A100</f>
        <v>41698</v>
      </c>
      <c r="B62" s="473">
        <f>'Cost of Equity'!I100</f>
        <v>4.1350013700070298E-2</v>
      </c>
      <c r="C62" s="473">
        <f>'Cost of Equity'!AM100</f>
        <v>-3.0791700245090311E-2</v>
      </c>
    </row>
    <row r="63" spans="1:3">
      <c r="A63" s="474">
        <f>'Cost of Equity'!A101</f>
        <v>41729</v>
      </c>
      <c r="B63" s="473">
        <f>'Cost of Equity'!I101</f>
        <v>-2.5888897392058026E-2</v>
      </c>
      <c r="C63" s="473">
        <f>'Cost of Equity'!AM101</f>
        <v>-7.9703050598966957E-2</v>
      </c>
    </row>
    <row r="64" spans="1:3">
      <c r="A64" s="474">
        <f>'Cost of Equity'!A102</f>
        <v>41759</v>
      </c>
      <c r="B64" s="473">
        <f>'Cost of Equity'!I102</f>
        <v>-2.3442083314561716E-2</v>
      </c>
      <c r="C64" s="473">
        <f>'Cost of Equity'!AM102</f>
        <v>1.4788612493750778E-2</v>
      </c>
    </row>
    <row r="65" spans="1:3">
      <c r="A65" s="474">
        <f>'Cost of Equity'!A103</f>
        <v>41789</v>
      </c>
      <c r="B65" s="473">
        <f>'Cost of Equity'!I103</f>
        <v>5.2540146068330656E-2</v>
      </c>
      <c r="C65" s="473">
        <f>'Cost of Equity'!AM103</f>
        <v>9.9136949100540564E-2</v>
      </c>
    </row>
    <row r="66" spans="1:3">
      <c r="A66" s="474">
        <f>'Cost of Equity'!A104</f>
        <v>41820</v>
      </c>
      <c r="B66" s="473">
        <f>'Cost of Equity'!I104</f>
        <v>-8.1274807984067377E-3</v>
      </c>
      <c r="C66" s="473">
        <f>'Cost of Equity'!AM104</f>
        <v>3.1728351028788529E-2</v>
      </c>
    </row>
    <row r="67" spans="1:3">
      <c r="A67" s="474">
        <f>'Cost of Equity'!A105</f>
        <v>41851</v>
      </c>
      <c r="B67" s="473">
        <f>'Cost of Equity'!I105</f>
        <v>-6.298657832327588E-2</v>
      </c>
      <c r="C67" s="473">
        <f>'Cost of Equity'!AM105</f>
        <v>-0.12345408070583881</v>
      </c>
    </row>
    <row r="68" spans="1:3">
      <c r="A68" s="474">
        <f>'Cost of Equity'!A106</f>
        <v>41880</v>
      </c>
      <c r="B68" s="473">
        <f>'Cost of Equity'!I106</f>
        <v>1.8385930461956822E-2</v>
      </c>
      <c r="C68" s="473">
        <f>'Cost of Equity'!AM106</f>
        <v>2.3194988323733474E-2</v>
      </c>
    </row>
    <row r="69" spans="1:3">
      <c r="A69" s="474">
        <f>'Cost of Equity'!A107</f>
        <v>41912</v>
      </c>
      <c r="B69" s="473">
        <f>'Cost of Equity'!I107</f>
        <v>-5.7315171313751219E-3</v>
      </c>
      <c r="C69" s="473">
        <f>'Cost of Equity'!AM107</f>
        <v>-1.3738838805996868E-2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Z325"/>
  <sheetViews>
    <sheetView topLeftCell="A37" zoomScale="60" zoomScaleNormal="60" zoomScalePageLayoutView="60" workbookViewId="0">
      <selection activeCell="J7" sqref="J7"/>
    </sheetView>
  </sheetViews>
  <sheetFormatPr defaultColWidth="8.85546875" defaultRowHeight="15"/>
  <cols>
    <col min="1" max="1" width="31.85546875" style="28" bestFit="1" customWidth="1"/>
    <col min="2" max="2" width="19.140625" style="28" customWidth="1"/>
    <col min="3" max="3" width="14.7109375" style="28" bestFit="1" customWidth="1"/>
    <col min="4" max="4" width="35.140625" style="28" customWidth="1"/>
    <col min="5" max="5" width="20.140625" style="28" bestFit="1" customWidth="1"/>
    <col min="6" max="6" width="21.7109375" style="28" customWidth="1"/>
    <col min="7" max="7" width="12.42578125" style="28" bestFit="1" customWidth="1"/>
    <col min="8" max="8" width="20.85546875" style="28" customWidth="1"/>
    <col min="9" max="9" width="12.42578125" style="28" bestFit="1" customWidth="1"/>
    <col min="10" max="10" width="21.140625" style="28" customWidth="1"/>
    <col min="11" max="11" width="13.140625" style="28" customWidth="1"/>
    <col min="12" max="12" width="24.85546875" style="28" customWidth="1"/>
    <col min="13" max="13" width="16.85546875" style="28" customWidth="1"/>
    <col min="14" max="14" width="33.85546875" style="28" bestFit="1" customWidth="1"/>
    <col min="15" max="15" width="24" style="28" customWidth="1"/>
    <col min="16" max="16" width="25.7109375" style="28" customWidth="1"/>
    <col min="17" max="17" width="22.28515625" style="28" bestFit="1" customWidth="1"/>
    <col min="18" max="18" width="21.7109375" style="28" bestFit="1" customWidth="1"/>
    <col min="19" max="19" width="20.7109375" style="28" bestFit="1" customWidth="1"/>
    <col min="20" max="21" width="8.85546875" style="28"/>
    <col min="22" max="22" width="12.7109375" style="28" bestFit="1" customWidth="1"/>
    <col min="23" max="28" width="8.85546875" style="28"/>
    <col min="29" max="29" width="9.42578125" style="28" bestFit="1" customWidth="1"/>
    <col min="30" max="30" width="13.42578125" style="28" bestFit="1" customWidth="1"/>
    <col min="31" max="42" width="8.85546875" style="28"/>
    <col min="43" max="43" width="11.140625" style="28" bestFit="1" customWidth="1"/>
    <col min="44" max="49" width="8.85546875" style="28"/>
    <col min="50" max="50" width="10.42578125" style="28" bestFit="1" customWidth="1"/>
    <col min="51" max="51" width="14.28515625" style="28" bestFit="1" customWidth="1"/>
    <col min="52" max="16384" width="8.85546875" style="28"/>
  </cols>
  <sheetData>
    <row r="1" spans="1:22">
      <c r="A1" s="176" t="s">
        <v>37</v>
      </c>
      <c r="B1" s="176"/>
      <c r="C1" s="176"/>
      <c r="D1" s="176"/>
      <c r="E1" s="176"/>
      <c r="F1" s="176"/>
      <c r="G1" s="176"/>
      <c r="H1" s="176"/>
      <c r="I1" s="176"/>
      <c r="J1" s="30"/>
      <c r="K1" s="176" t="s">
        <v>189</v>
      </c>
      <c r="L1" s="176"/>
      <c r="M1" s="176"/>
      <c r="N1" s="176"/>
      <c r="O1" s="176"/>
      <c r="P1" s="176"/>
      <c r="Q1" s="176"/>
      <c r="U1" s="30"/>
      <c r="V1" s="30"/>
    </row>
    <row r="2" spans="1:22">
      <c r="A2" s="30"/>
      <c r="B2" s="30"/>
      <c r="C2" s="30"/>
      <c r="D2" s="30"/>
      <c r="E2" s="30"/>
      <c r="F2" s="30"/>
      <c r="G2" s="30"/>
      <c r="H2" s="30"/>
      <c r="I2" s="30"/>
      <c r="J2" s="30"/>
      <c r="L2" s="28" t="s">
        <v>188</v>
      </c>
      <c r="M2" s="28" t="s">
        <v>187</v>
      </c>
      <c r="N2" s="28" t="s">
        <v>190</v>
      </c>
      <c r="O2" s="28" t="s">
        <v>186</v>
      </c>
      <c r="P2" s="28" t="s">
        <v>195</v>
      </c>
      <c r="Q2" s="28" t="s">
        <v>196</v>
      </c>
    </row>
    <row r="3" spans="1:22">
      <c r="A3" s="563" t="s">
        <v>23</v>
      </c>
      <c r="B3" s="179" t="s">
        <v>15</v>
      </c>
      <c r="C3" s="179" t="s">
        <v>200</v>
      </c>
      <c r="D3" s="179" t="s">
        <v>16</v>
      </c>
      <c r="E3" s="179" t="s">
        <v>17</v>
      </c>
      <c r="F3" s="179" t="s">
        <v>18</v>
      </c>
      <c r="G3" s="353" t="s">
        <v>19</v>
      </c>
      <c r="H3" s="368" t="s">
        <v>20</v>
      </c>
      <c r="I3" s="179" t="s">
        <v>21</v>
      </c>
      <c r="J3" s="30"/>
      <c r="K3" s="28" t="str">
        <f>B7</f>
        <v>Scania</v>
      </c>
      <c r="L3" s="13">
        <f>APV!L3</f>
        <v>108045197.74011301</v>
      </c>
      <c r="M3" s="132">
        <f>APV!M3</f>
        <v>80000000</v>
      </c>
      <c r="N3" s="13">
        <f>Scania!C12/APV!L13</f>
        <v>14.124293785310735</v>
      </c>
      <c r="O3" s="13">
        <f t="shared" ref="O3:O9" si="0">N3*M3</f>
        <v>1129943502.8248589</v>
      </c>
      <c r="P3" s="137"/>
    </row>
    <row r="4" spans="1:22">
      <c r="A4" s="564"/>
      <c r="B4" s="29">
        <f>WACC!C3</f>
        <v>1.2199999999999999E-3</v>
      </c>
      <c r="C4" s="15">
        <f>WACC!D3</f>
        <v>0</v>
      </c>
      <c r="D4" s="15">
        <f>WACC!E3</f>
        <v>2E-3</v>
      </c>
      <c r="E4" s="15">
        <f>WACC!F3</f>
        <v>1.5E-3</v>
      </c>
      <c r="F4" s="15">
        <f>WACC!G3</f>
        <v>0.158</v>
      </c>
      <c r="G4" s="382">
        <f>WACC!H3</f>
        <v>0.05</v>
      </c>
      <c r="H4" s="382" t="e">
        <f>WACC!#REF!</f>
        <v>#REF!</v>
      </c>
      <c r="I4" s="382" t="e">
        <f>WACC!#REF!</f>
        <v>#REF!</v>
      </c>
      <c r="J4" s="30"/>
      <c r="K4" s="28" t="s">
        <v>45</v>
      </c>
      <c r="L4" s="13">
        <f>APV!L4</f>
        <v>1105300000</v>
      </c>
      <c r="M4" s="132">
        <f>APV!M4</f>
        <v>106980000</v>
      </c>
      <c r="N4" s="13">
        <f>APV!N4</f>
        <v>62.9</v>
      </c>
      <c r="O4" s="13">
        <f t="shared" si="0"/>
        <v>6729042000</v>
      </c>
      <c r="P4" s="137">
        <v>10815000000</v>
      </c>
      <c r="Q4" s="7">
        <f>P4/O4</f>
        <v>1.6072124382638717</v>
      </c>
    </row>
    <row r="5" spans="1:22">
      <c r="A5" s="216" t="s">
        <v>39</v>
      </c>
      <c r="B5" s="582">
        <v>0.05</v>
      </c>
      <c r="C5" s="583"/>
      <c r="D5" s="583"/>
      <c r="E5" s="583"/>
      <c r="F5" s="583"/>
      <c r="G5" s="583"/>
      <c r="H5" s="583"/>
      <c r="I5" s="583"/>
      <c r="J5" s="26"/>
      <c r="K5" s="28" t="s">
        <v>46</v>
      </c>
      <c r="L5" s="13">
        <f>APV!L5</f>
        <v>3018000000</v>
      </c>
      <c r="M5" s="132">
        <f>APV!M5</f>
        <v>355000000</v>
      </c>
      <c r="N5" s="13">
        <f>APV!N5</f>
        <v>47.19</v>
      </c>
      <c r="O5" s="13">
        <f t="shared" si="0"/>
        <v>16752450000</v>
      </c>
      <c r="P5" s="137"/>
      <c r="Q5" s="136">
        <v>0.2</v>
      </c>
    </row>
    <row r="6" spans="1:22">
      <c r="A6" s="214" t="s">
        <v>38</v>
      </c>
      <c r="B6" s="15">
        <f>WACC!C8</f>
        <v>0</v>
      </c>
      <c r="C6" s="15">
        <f>WACC!D8</f>
        <v>0</v>
      </c>
      <c r="D6" s="15">
        <f>WACC!E8</f>
        <v>6.0000000000000001E-3</v>
      </c>
      <c r="E6" s="477">
        <f>WACC!F8</f>
        <v>1.1299999999999999E-2</v>
      </c>
      <c r="F6" s="477">
        <f>WACC!G8</f>
        <v>4.2000000000000003E-2</v>
      </c>
      <c r="G6" s="383">
        <f>WACC!H8</f>
        <v>1.5100000000000001E-2</v>
      </c>
      <c r="H6" s="383" t="e">
        <f>WACC!#REF!</f>
        <v>#REF!</v>
      </c>
      <c r="I6" s="383" t="e">
        <f>WACC!#REF!</f>
        <v>#REF!</v>
      </c>
      <c r="J6" s="369"/>
      <c r="K6" s="28" t="s">
        <v>47</v>
      </c>
      <c r="L6" s="13">
        <f>APV!L6</f>
        <v>733500000</v>
      </c>
      <c r="M6" s="132">
        <f>APV!M6</f>
        <v>85000000</v>
      </c>
      <c r="N6" s="13">
        <f>APV!N6</f>
        <v>40.18</v>
      </c>
      <c r="O6" s="13">
        <f t="shared" si="0"/>
        <v>3415300000</v>
      </c>
      <c r="P6" s="137"/>
    </row>
    <row r="7" spans="1:22">
      <c r="A7" s="178"/>
      <c r="B7" s="353" t="s">
        <v>478</v>
      </c>
      <c r="C7" s="179" t="s">
        <v>45</v>
      </c>
      <c r="D7" s="353" t="str">
        <f>APV!D10</f>
        <v>Paccar</v>
      </c>
      <c r="E7" s="179" t="str">
        <f>APV!E10</f>
        <v>Oshkosch</v>
      </c>
      <c r="F7" s="179" t="str">
        <f>APV!F10</f>
        <v>Dongfeng</v>
      </c>
      <c r="G7" s="179" t="str">
        <f>APV!G10</f>
        <v>Dürr</v>
      </c>
      <c r="H7" s="179" t="str">
        <f>APV!H10</f>
        <v>Deutz</v>
      </c>
      <c r="I7" s="353" t="str">
        <f>APV!I10</f>
        <v>Industry</v>
      </c>
      <c r="J7" s="369"/>
      <c r="K7" s="28" t="s">
        <v>332</v>
      </c>
      <c r="L7" s="13">
        <f>APV!L7</f>
        <v>21739000000</v>
      </c>
      <c r="M7" s="132">
        <f>APV!M7</f>
        <v>8616120000</v>
      </c>
      <c r="N7" s="13">
        <f>APV!N7</f>
        <v>12.14</v>
      </c>
      <c r="O7" s="13">
        <f t="shared" si="0"/>
        <v>104599696800</v>
      </c>
      <c r="P7" s="137"/>
    </row>
    <row r="8" spans="1:22">
      <c r="A8" s="212" t="s">
        <v>41</v>
      </c>
      <c r="B8" s="27">
        <f>Scania!C8</f>
        <v>0.13510957298842591</v>
      </c>
      <c r="C8" s="27">
        <f>Daimler!D8</f>
        <v>0.98453528897586684</v>
      </c>
      <c r="D8" s="27">
        <f>APV!D11</f>
        <v>1.5427995893850872</v>
      </c>
      <c r="E8" s="476">
        <f>APV!E11</f>
        <v>2.5170925281098255</v>
      </c>
      <c r="F8" s="476">
        <f>APV!F11</f>
        <v>1.4527721440555608</v>
      </c>
      <c r="G8" s="476">
        <f>APV!G11</f>
        <v>0.89505986464533638</v>
      </c>
      <c r="H8" s="476">
        <f>APV!H11</f>
        <v>0.85793273031627493</v>
      </c>
      <c r="I8" s="476">
        <f>APV!I11</f>
        <v>1.28</v>
      </c>
      <c r="J8" s="369"/>
      <c r="K8" s="28" t="s">
        <v>311</v>
      </c>
      <c r="L8" s="13">
        <f>APV!L8</f>
        <v>458513000</v>
      </c>
      <c r="M8" s="132">
        <f>APV!M8</f>
        <v>34601000</v>
      </c>
      <c r="N8" s="13">
        <f>APV!N8</f>
        <v>64.81</v>
      </c>
      <c r="O8" s="13">
        <f t="shared" si="0"/>
        <v>2242490810</v>
      </c>
      <c r="P8" s="137"/>
    </row>
    <row r="9" spans="1:22">
      <c r="A9" s="213" t="s">
        <v>33</v>
      </c>
      <c r="B9" s="354">
        <f>APV!B12</f>
        <v>80953</v>
      </c>
      <c r="C9" s="28">
        <f>APV!C12</f>
        <v>125155</v>
      </c>
      <c r="D9" s="28">
        <f>APV!D12</f>
        <v>14093</v>
      </c>
      <c r="E9" s="28">
        <f>APV!E12</f>
        <v>2657.8999999999996</v>
      </c>
      <c r="F9" s="28">
        <f>APV!F12</f>
        <v>51964</v>
      </c>
      <c r="G9" s="28">
        <f>APV!G12</f>
        <v>1479090</v>
      </c>
      <c r="H9" s="28">
        <f>APV!H12</f>
        <v>616.29999999999995</v>
      </c>
      <c r="I9" s="28">
        <f>APV!I12</f>
        <v>0</v>
      </c>
      <c r="J9" s="354"/>
      <c r="K9" s="28" t="s">
        <v>309</v>
      </c>
      <c r="L9" s="13">
        <f>APV!L9</f>
        <v>58900000</v>
      </c>
      <c r="M9" s="132">
        <f>APV!M9</f>
        <v>120862000</v>
      </c>
      <c r="N9" s="13">
        <f>APV!N9</f>
        <v>3.81</v>
      </c>
      <c r="O9" s="13">
        <f t="shared" si="0"/>
        <v>460484220</v>
      </c>
      <c r="P9" s="137"/>
    </row>
    <row r="10" spans="1:22">
      <c r="A10" s="214" t="s">
        <v>34</v>
      </c>
      <c r="B10" s="354">
        <f>APV!B13</f>
        <v>37055</v>
      </c>
      <c r="C10" s="28">
        <f>APV!C13</f>
        <v>43363</v>
      </c>
      <c r="D10" s="28">
        <f>APV!D13</f>
        <v>6634</v>
      </c>
      <c r="E10" s="28">
        <f>APV!E13</f>
        <v>2107.8000000000002</v>
      </c>
      <c r="F10" s="28">
        <f>APV!F13</f>
        <v>63135</v>
      </c>
      <c r="G10" s="28">
        <f>APV!G13</f>
        <v>504499</v>
      </c>
      <c r="H10" s="28">
        <f>APV!H13</f>
        <v>480.3</v>
      </c>
      <c r="I10" s="28">
        <f>APV!I13</f>
        <v>0</v>
      </c>
      <c r="J10" s="354"/>
      <c r="K10" s="11"/>
    </row>
    <row r="11" spans="1:22">
      <c r="A11" s="213" t="s">
        <v>42</v>
      </c>
      <c r="B11" s="27">
        <f>APV!B14</f>
        <v>4.9965750201910748E-2</v>
      </c>
      <c r="C11" s="27">
        <f>APV!C14</f>
        <v>0.31541778024849304</v>
      </c>
      <c r="D11" s="27" t="e">
        <f>APV!D14</f>
        <v>#REF!</v>
      </c>
      <c r="E11" s="27" t="e">
        <f>APV!E14</f>
        <v>#REF!</v>
      </c>
      <c r="F11" s="27" t="e">
        <f>APV!F14</f>
        <v>#REF!</v>
      </c>
      <c r="G11" s="27">
        <f>APV!G14</f>
        <v>0.28370712043479923</v>
      </c>
      <c r="H11" s="27">
        <f>APV!H14</f>
        <v>0.44152330448445765</v>
      </c>
      <c r="I11" s="27">
        <f>APV!I14</f>
        <v>0.66</v>
      </c>
      <c r="J11" s="31"/>
    </row>
    <row r="12" spans="1:22">
      <c r="A12" s="213" t="s">
        <v>185</v>
      </c>
      <c r="B12" s="128">
        <f>L3/O3</f>
        <v>9.5619999999999997E-2</v>
      </c>
      <c r="C12" s="8">
        <f>APV!C15</f>
        <v>0.16425815145751801</v>
      </c>
      <c r="D12" s="8">
        <f>APV!D15</f>
        <v>0.18015275377631332</v>
      </c>
      <c r="E12" s="8">
        <f>APV!E15</f>
        <v>0.2147688343630135</v>
      </c>
      <c r="F12" s="8">
        <f>APV!F15</f>
        <v>0.20783043034595106</v>
      </c>
      <c r="G12" s="8">
        <f>APV!G15</f>
        <v>0.20446594383144875</v>
      </c>
      <c r="H12" s="8">
        <f>APV!H15</f>
        <v>0.12790883474790948</v>
      </c>
      <c r="I12" s="8">
        <f>APV!I15</f>
        <v>8.48E-2</v>
      </c>
      <c r="J12" s="128"/>
    </row>
    <row r="13" spans="1:22">
      <c r="A13" s="213" t="s">
        <v>184</v>
      </c>
      <c r="B13" s="130">
        <f>B11*(1+B12)</f>
        <v>5.4743475236217455E-2</v>
      </c>
      <c r="C13" s="31">
        <f>APV!C16</f>
        <v>0.36722772176894419</v>
      </c>
      <c r="D13" s="27" t="e">
        <f>APV!D16</f>
        <v>#REF!</v>
      </c>
      <c r="E13" s="27" t="e">
        <f>APV!E16</f>
        <v>#REF!</v>
      </c>
      <c r="F13" s="27" t="e">
        <f>APV!F16</f>
        <v>#REF!</v>
      </c>
      <c r="G13" s="27">
        <f>APV!G16</f>
        <v>0.34171556458620295</v>
      </c>
      <c r="H13" s="27">
        <f>APV!H16</f>
        <v>0.4979980358751111</v>
      </c>
      <c r="I13" s="27">
        <f>APV!I16</f>
        <v>0.71596800000000005</v>
      </c>
      <c r="J13" s="130"/>
    </row>
    <row r="14" spans="1:22">
      <c r="A14" s="214" t="s">
        <v>43</v>
      </c>
      <c r="B14" s="568" t="e">
        <f>MEDIAN(B13:J13)</f>
        <v>#REF!</v>
      </c>
      <c r="C14" s="569"/>
      <c r="D14" s="569"/>
      <c r="E14" s="569"/>
      <c r="F14" s="569"/>
      <c r="G14" s="569"/>
      <c r="H14" s="569"/>
      <c r="I14" s="569"/>
      <c r="J14" s="362"/>
      <c r="M14" s="13"/>
    </row>
    <row r="15" spans="1:22">
      <c r="A15" s="215" t="s">
        <v>48</v>
      </c>
      <c r="B15" s="568" t="e">
        <f>(1+#REF!/(#REF!+#REF!))</f>
        <v>#REF!</v>
      </c>
      <c r="C15" s="569"/>
      <c r="D15" s="569"/>
      <c r="E15" s="569"/>
      <c r="F15" s="569"/>
      <c r="G15" s="569"/>
      <c r="H15" s="569"/>
      <c r="I15" s="569"/>
      <c r="J15" s="388"/>
    </row>
    <row r="16" spans="1:22">
      <c r="A16" s="213" t="s">
        <v>44</v>
      </c>
      <c r="B16" s="566" t="e">
        <f>B14*B15</f>
        <v>#REF!</v>
      </c>
      <c r="C16" s="567"/>
      <c r="D16" s="567"/>
      <c r="E16" s="567"/>
      <c r="F16" s="567"/>
      <c r="G16" s="567"/>
      <c r="H16" s="567"/>
      <c r="I16" s="567"/>
      <c r="J16" s="388"/>
      <c r="M16" s="13"/>
    </row>
    <row r="17" spans="1:21">
      <c r="A17" s="334" t="s">
        <v>27</v>
      </c>
      <c r="B17" s="211" t="e">
        <f>B4+$B$16*($B$5+B6)</f>
        <v>#REF!</v>
      </c>
      <c r="C17" s="211" t="e">
        <f t="shared" ref="C17:I17" si="1">C4+$B$16*($B$5+C6)</f>
        <v>#REF!</v>
      </c>
      <c r="D17" s="211" t="e">
        <f t="shared" si="1"/>
        <v>#REF!</v>
      </c>
      <c r="E17" s="211" t="e">
        <f t="shared" si="1"/>
        <v>#REF!</v>
      </c>
      <c r="F17" s="211" t="e">
        <f t="shared" si="1"/>
        <v>#REF!</v>
      </c>
      <c r="G17" s="211" t="e">
        <f t="shared" si="1"/>
        <v>#REF!</v>
      </c>
      <c r="H17" s="211" t="e">
        <f t="shared" si="1"/>
        <v>#REF!</v>
      </c>
      <c r="I17" s="211" t="e">
        <f t="shared" si="1"/>
        <v>#REF!</v>
      </c>
      <c r="J17" s="388"/>
    </row>
    <row r="18" spans="1:21">
      <c r="J18" s="388"/>
    </row>
    <row r="19" spans="1:21">
      <c r="J19" s="388"/>
    </row>
    <row r="20" spans="1:21">
      <c r="A20" s="581" t="s">
        <v>51</v>
      </c>
      <c r="B20" s="581"/>
      <c r="C20" s="581"/>
      <c r="D20" s="581"/>
      <c r="E20" s="581"/>
      <c r="F20" s="581"/>
      <c r="G20" s="581"/>
      <c r="H20" s="581"/>
      <c r="I20" s="581"/>
      <c r="J20" s="388"/>
      <c r="K20" s="176" t="s">
        <v>189</v>
      </c>
      <c r="L20" s="176"/>
      <c r="M20" s="176"/>
      <c r="N20" s="176"/>
      <c r="O20" s="176"/>
      <c r="P20" s="176"/>
      <c r="Q20" s="176"/>
      <c r="U20" s="15"/>
    </row>
    <row r="21" spans="1:21" s="330" customFormat="1">
      <c r="A21" s="215" t="s">
        <v>40</v>
      </c>
      <c r="B21" s="572" t="e">
        <f>B16</f>
        <v>#REF!</v>
      </c>
      <c r="C21" s="573"/>
      <c r="D21" s="573"/>
      <c r="E21" s="573"/>
      <c r="F21" s="573"/>
      <c r="G21" s="573"/>
      <c r="H21" s="573"/>
      <c r="I21" s="573"/>
      <c r="J21" s="388"/>
      <c r="K21" s="28" t="s">
        <v>325</v>
      </c>
      <c r="L21" s="28">
        <v>2010</v>
      </c>
      <c r="M21" s="28">
        <v>2011</v>
      </c>
      <c r="N21" s="28">
        <v>2012</v>
      </c>
      <c r="O21" s="28">
        <v>2013</v>
      </c>
      <c r="P21" s="28">
        <v>2014</v>
      </c>
      <c r="Q21" s="28"/>
      <c r="U21" s="15"/>
    </row>
    <row r="22" spans="1:21" s="330" customFormat="1">
      <c r="A22" s="215" t="s">
        <v>303</v>
      </c>
      <c r="B22" s="574">
        <f>Q27</f>
        <v>3.8338442860435015E-2</v>
      </c>
      <c r="C22" s="575"/>
      <c r="D22" s="575"/>
      <c r="E22" s="575"/>
      <c r="F22" s="575"/>
      <c r="G22" s="575"/>
      <c r="H22" s="575"/>
      <c r="I22" s="575"/>
      <c r="J22" s="388"/>
      <c r="K22" s="28" t="s">
        <v>45</v>
      </c>
      <c r="L22" s="28">
        <v>0</v>
      </c>
      <c r="M22" s="28">
        <v>1.85</v>
      </c>
      <c r="N22" s="28">
        <v>2.2000000000000002</v>
      </c>
      <c r="O22" s="28">
        <v>2.2000000000000002</v>
      </c>
      <c r="P22" s="28">
        <v>2.25</v>
      </c>
      <c r="Q22" s="8">
        <f>((P22/M22)^(1/4))-1</f>
        <v>5.0153290306092169E-2</v>
      </c>
      <c r="U22" s="15"/>
    </row>
    <row r="23" spans="1:21" s="330" customFormat="1">
      <c r="A23" s="215" t="s">
        <v>305</v>
      </c>
      <c r="B23" s="576">
        <v>89.1</v>
      </c>
      <c r="C23" s="577"/>
      <c r="D23" s="577"/>
      <c r="E23" s="577"/>
      <c r="F23" s="577"/>
      <c r="G23" s="577"/>
      <c r="H23" s="577"/>
      <c r="I23" s="577"/>
      <c r="J23" s="388"/>
      <c r="K23" s="330" t="s">
        <v>306</v>
      </c>
      <c r="L23" s="330">
        <v>0.09</v>
      </c>
      <c r="M23" s="330">
        <v>0.18</v>
      </c>
      <c r="N23" s="330">
        <v>0.18</v>
      </c>
      <c r="O23" s="330">
        <v>0.15</v>
      </c>
      <c r="P23" s="330">
        <v>0.18</v>
      </c>
      <c r="Q23" s="8">
        <f>((P23/M23)^(1/4))-1</f>
        <v>0</v>
      </c>
      <c r="U23" s="15"/>
    </row>
    <row r="24" spans="1:21" s="330" customFormat="1">
      <c r="A24" s="215" t="s">
        <v>304</v>
      </c>
      <c r="B24" s="579" t="e">
        <f>#REF!</f>
        <v>#REF!</v>
      </c>
      <c r="C24" s="580"/>
      <c r="D24" s="580"/>
      <c r="E24" s="580"/>
      <c r="F24" s="580"/>
      <c r="G24" s="580"/>
      <c r="H24" s="580"/>
      <c r="I24" s="580"/>
      <c r="J24" s="388"/>
      <c r="K24" s="330" t="s">
        <v>46</v>
      </c>
      <c r="L24" s="330">
        <v>0.69</v>
      </c>
      <c r="M24" s="330">
        <v>1.3</v>
      </c>
      <c r="N24" s="330">
        <v>1.58</v>
      </c>
      <c r="O24" s="330">
        <v>1.7</v>
      </c>
      <c r="P24" s="330">
        <v>1.66</v>
      </c>
      <c r="Q24" s="8">
        <f>((P24/M24)^(1/4))-1</f>
        <v>6.3019384104436416E-2</v>
      </c>
      <c r="U24" s="15"/>
    </row>
    <row r="25" spans="1:21" s="330" customFormat="1">
      <c r="A25" s="333" t="s">
        <v>27</v>
      </c>
      <c r="B25" s="570" t="e">
        <f>B24/B23+B22</f>
        <v>#REF!</v>
      </c>
      <c r="C25" s="571"/>
      <c r="D25" s="571"/>
      <c r="E25" s="571"/>
      <c r="F25" s="571"/>
      <c r="G25" s="571"/>
      <c r="H25" s="571"/>
      <c r="I25" s="571"/>
      <c r="J25" s="388"/>
      <c r="K25" s="471" t="str">
        <f>B7</f>
        <v>Scania</v>
      </c>
      <c r="L25" s="330">
        <v>1</v>
      </c>
      <c r="M25" s="330">
        <v>5</v>
      </c>
      <c r="N25" s="330">
        <v>5</v>
      </c>
      <c r="O25" s="330">
        <v>4.7</v>
      </c>
      <c r="P25" s="330">
        <v>4</v>
      </c>
      <c r="Q25" s="8">
        <f>((P25/M25)^(1/4))-1</f>
        <v>-5.4258390996824168E-2</v>
      </c>
    </row>
    <row r="26" spans="1:21" s="330" customFormat="1">
      <c r="A26" s="329"/>
      <c r="B26" s="329"/>
      <c r="C26" s="329"/>
      <c r="D26" s="329"/>
      <c r="E26" s="329"/>
      <c r="F26" s="329"/>
      <c r="G26" s="329"/>
      <c r="H26" s="329"/>
      <c r="I26" s="329"/>
      <c r="J26" s="388"/>
      <c r="K26" s="330" t="s">
        <v>311</v>
      </c>
      <c r="L26" s="330">
        <v>0</v>
      </c>
      <c r="M26" s="330">
        <v>0.15</v>
      </c>
      <c r="N26" s="330">
        <v>0.6</v>
      </c>
      <c r="O26" s="330">
        <v>1.1299999999999999</v>
      </c>
      <c r="P26" s="330">
        <v>1.45</v>
      </c>
      <c r="Q26" s="8">
        <f>((P26/O26)^(1/2))-1</f>
        <v>0.13277793088847067</v>
      </c>
      <c r="U26" s="346"/>
    </row>
    <row r="27" spans="1:21" s="330" customFormat="1">
      <c r="A27" s="329"/>
      <c r="B27" s="329"/>
      <c r="C27" s="329"/>
      <c r="D27" s="329"/>
      <c r="E27" s="329"/>
      <c r="F27" s="329"/>
      <c r="G27" s="329"/>
      <c r="H27" s="329"/>
      <c r="I27" s="329"/>
      <c r="J27" s="388"/>
      <c r="P27" s="347" t="s">
        <v>326</v>
      </c>
      <c r="Q27" s="348">
        <f>AVERAGE(Q22:Q26)</f>
        <v>3.8338442860435015E-2</v>
      </c>
    </row>
    <row r="28" spans="1:21" s="330" customFormat="1">
      <c r="J28" s="388"/>
    </row>
    <row r="29" spans="1:21" s="330" customFormat="1">
      <c r="A29" s="331"/>
      <c r="B29" s="331"/>
      <c r="C29" s="331"/>
      <c r="D29" s="331"/>
      <c r="E29" s="331"/>
      <c r="F29" s="331"/>
      <c r="G29" s="331"/>
      <c r="H29" s="331"/>
      <c r="I29" s="331"/>
      <c r="J29" s="388"/>
      <c r="K29" s="330" t="s">
        <v>324</v>
      </c>
      <c r="L29" s="330">
        <v>0</v>
      </c>
      <c r="M29" s="330">
        <v>0</v>
      </c>
      <c r="N29" s="330">
        <v>0</v>
      </c>
      <c r="O29" s="330">
        <v>0.15</v>
      </c>
      <c r="P29" s="330">
        <v>0.62</v>
      </c>
      <c r="Q29" s="8" t="e">
        <f>((P29/M29)^(1/4))-1</f>
        <v>#DIV/0!</v>
      </c>
    </row>
    <row r="30" spans="1:21" s="330" customFormat="1">
      <c r="J30" s="388"/>
      <c r="K30" s="330" t="s">
        <v>309</v>
      </c>
      <c r="L30" s="330">
        <v>0</v>
      </c>
      <c r="M30" s="330">
        <v>0</v>
      </c>
      <c r="N30" s="330">
        <v>0</v>
      </c>
      <c r="O30" s="330">
        <v>0</v>
      </c>
      <c r="P30" s="330">
        <v>7.0000000000000007E-2</v>
      </c>
      <c r="Q30" s="8"/>
    </row>
    <row r="31" spans="1:21" s="330" customFormat="1">
      <c r="A31" s="28"/>
      <c r="B31" s="28"/>
      <c r="C31" s="28"/>
      <c r="D31" s="28"/>
      <c r="E31" s="28"/>
      <c r="F31" s="28"/>
      <c r="G31" s="11"/>
      <c r="H31" s="11"/>
      <c r="I31" s="11"/>
      <c r="J31" s="387"/>
      <c r="K31" s="387"/>
      <c r="L31" s="387"/>
      <c r="M31" s="7"/>
    </row>
    <row r="32" spans="1:21" s="330" customFormat="1">
      <c r="A32" s="28"/>
      <c r="B32" s="28"/>
      <c r="C32" s="28"/>
      <c r="D32" s="28"/>
      <c r="E32" s="28"/>
      <c r="F32" s="28"/>
      <c r="G32" s="28"/>
      <c r="H32" s="28"/>
      <c r="I32" s="28"/>
      <c r="J32" s="385"/>
      <c r="K32" s="385"/>
      <c r="L32" s="385"/>
      <c r="M32" s="28"/>
      <c r="N32" s="331"/>
      <c r="O32" s="331"/>
      <c r="P32" s="332"/>
      <c r="Q32" s="331"/>
      <c r="R32" s="331"/>
      <c r="S32" s="331"/>
      <c r="T32" s="331"/>
      <c r="U32" s="331"/>
    </row>
    <row r="33" spans="1:52" s="330" customFormat="1">
      <c r="A33" s="176" t="s">
        <v>52</v>
      </c>
      <c r="B33" s="386"/>
      <c r="C33" s="386"/>
      <c r="D33" s="386"/>
      <c r="E33" s="386"/>
      <c r="F33" s="386"/>
      <c r="G33" s="386"/>
      <c r="H33" s="386"/>
      <c r="I33" s="386"/>
      <c r="J33" s="30"/>
      <c r="K33" s="30"/>
      <c r="L33" s="30"/>
      <c r="M33" s="28"/>
      <c r="N33" s="28"/>
      <c r="O33" s="28"/>
      <c r="P33" s="28"/>
      <c r="Q33" s="28"/>
      <c r="R33" s="28"/>
      <c r="S33" s="28"/>
      <c r="T33" s="28"/>
      <c r="U33" s="28"/>
    </row>
    <row r="34" spans="1:52" s="330" customFormat="1">
      <c r="A34" s="129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:52" s="331" customFormat="1">
      <c r="A35" s="402" t="s">
        <v>334</v>
      </c>
      <c r="B35" s="402"/>
      <c r="C35" s="402"/>
      <c r="D35" s="402"/>
      <c r="E35" s="402"/>
      <c r="F35" s="402"/>
      <c r="G35" s="402"/>
      <c r="H35" s="402"/>
      <c r="I35" s="402"/>
      <c r="J35" s="402"/>
      <c r="K35" s="402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1:52">
      <c r="A36" s="402" t="s">
        <v>335</v>
      </c>
      <c r="B36" s="402"/>
      <c r="C36" s="402"/>
      <c r="D36" s="402"/>
      <c r="E36" s="402"/>
      <c r="F36" s="402"/>
      <c r="G36" s="402"/>
      <c r="H36" s="402"/>
      <c r="I36" s="402"/>
      <c r="J36" s="402"/>
      <c r="K36" s="402"/>
    </row>
    <row r="37" spans="1:52">
      <c r="A37" s="402"/>
      <c r="B37" s="565" t="s">
        <v>336</v>
      </c>
      <c r="C37" s="565"/>
      <c r="D37" s="565"/>
      <c r="E37" s="565" t="s">
        <v>337</v>
      </c>
      <c r="F37" s="565"/>
      <c r="G37" s="565"/>
      <c r="H37" s="402"/>
      <c r="I37" s="402"/>
      <c r="J37" s="402"/>
      <c r="K37" s="402"/>
      <c r="M37" s="480" t="s">
        <v>482</v>
      </c>
      <c r="N37" s="479"/>
      <c r="O37" s="479"/>
      <c r="P37" s="479"/>
      <c r="Q37" s="479"/>
      <c r="R37" s="479"/>
      <c r="S37" s="479"/>
      <c r="T37" s="479"/>
      <c r="U37" s="479"/>
      <c r="V37" s="479"/>
      <c r="W37" s="479"/>
      <c r="X37" s="479"/>
      <c r="Y37" s="479"/>
      <c r="Z37" s="479"/>
      <c r="AA37" s="479"/>
      <c r="AB37" s="479"/>
      <c r="AC37" s="479"/>
      <c r="AD37" s="479"/>
      <c r="AE37" s="479"/>
      <c r="AF37" s="479"/>
      <c r="AG37" s="479"/>
      <c r="AH37" s="479"/>
      <c r="AI37" s="479"/>
      <c r="AJ37" s="479"/>
      <c r="AK37" s="479"/>
      <c r="AL37" s="479"/>
      <c r="AM37" s="479"/>
      <c r="AN37" s="479"/>
      <c r="AO37" s="479"/>
      <c r="AP37" s="479"/>
      <c r="AQ37" s="479"/>
      <c r="AR37" s="479"/>
      <c r="AS37" s="479"/>
      <c r="AT37" s="479"/>
      <c r="AU37" s="479"/>
      <c r="AV37" s="479"/>
      <c r="AW37" s="479"/>
      <c r="AX37" s="479"/>
      <c r="AY37" s="479"/>
      <c r="AZ37" s="479"/>
    </row>
    <row r="38" spans="1:52">
      <c r="A38" s="371" t="s">
        <v>338</v>
      </c>
      <c r="B38" s="371" t="s">
        <v>339</v>
      </c>
      <c r="C38" s="371" t="s">
        <v>340</v>
      </c>
      <c r="D38" s="371" t="s">
        <v>341</v>
      </c>
      <c r="E38" s="371" t="s">
        <v>339</v>
      </c>
      <c r="F38" s="371" t="s">
        <v>340</v>
      </c>
      <c r="G38" s="371" t="s">
        <v>341</v>
      </c>
      <c r="H38" s="371" t="s">
        <v>342</v>
      </c>
      <c r="I38" s="371" t="s">
        <v>343</v>
      </c>
      <c r="J38" s="371" t="s">
        <v>344</v>
      </c>
      <c r="K38" s="371" t="s">
        <v>345</v>
      </c>
      <c r="M38" s="371" t="s">
        <v>45</v>
      </c>
      <c r="N38" s="371" t="s">
        <v>398</v>
      </c>
      <c r="O38" s="371" t="s">
        <v>397</v>
      </c>
      <c r="Q38" s="371" t="s">
        <v>46</v>
      </c>
      <c r="R38" s="371" t="s">
        <v>399</v>
      </c>
      <c r="S38" s="371" t="s">
        <v>400</v>
      </c>
      <c r="U38" s="371" t="s">
        <v>324</v>
      </c>
      <c r="V38" s="371" t="s">
        <v>401</v>
      </c>
      <c r="W38" s="371" t="s">
        <v>400</v>
      </c>
      <c r="Y38" s="371" t="s">
        <v>478</v>
      </c>
      <c r="Z38" s="371" t="s">
        <v>479</v>
      </c>
      <c r="AA38" s="371" t="s">
        <v>403</v>
      </c>
      <c r="AC38" s="371" t="s">
        <v>306</v>
      </c>
      <c r="AD38" s="371" t="s">
        <v>402</v>
      </c>
      <c r="AE38" s="371" t="s">
        <v>397</v>
      </c>
      <c r="AG38" s="371" t="s">
        <v>309</v>
      </c>
      <c r="AH38" s="371" t="s">
        <v>404</v>
      </c>
      <c r="AI38" s="371" t="s">
        <v>397</v>
      </c>
      <c r="AK38" s="371" t="s">
        <v>311</v>
      </c>
      <c r="AL38" s="371" t="s">
        <v>405</v>
      </c>
      <c r="AM38" s="371" t="s">
        <v>397</v>
      </c>
      <c r="AP38" s="441" t="s">
        <v>409</v>
      </c>
      <c r="AQ38" s="441" t="s">
        <v>410</v>
      </c>
      <c r="AR38" s="441" t="s">
        <v>411</v>
      </c>
      <c r="AT38" s="441" t="s">
        <v>412</v>
      </c>
      <c r="AU38" s="441" t="s">
        <v>480</v>
      </c>
      <c r="AV38" s="441" t="s">
        <v>481</v>
      </c>
      <c r="AX38" s="475" t="s">
        <v>413</v>
      </c>
      <c r="AY38" s="475" t="s">
        <v>414</v>
      </c>
      <c r="AZ38" s="475" t="s">
        <v>415</v>
      </c>
    </row>
    <row r="39" spans="1:52">
      <c r="A39" s="403">
        <v>39843</v>
      </c>
      <c r="B39" s="405">
        <v>5473.31</v>
      </c>
      <c r="C39" s="402">
        <v>32.9</v>
      </c>
      <c r="D39" s="402">
        <v>38.950000000000003</v>
      </c>
      <c r="E39" s="402"/>
      <c r="F39" s="402"/>
      <c r="G39" s="402"/>
      <c r="H39" s="402"/>
      <c r="I39" s="402"/>
      <c r="J39" s="402"/>
      <c r="K39" s="402"/>
      <c r="M39" s="456">
        <v>22</v>
      </c>
      <c r="Q39" s="472">
        <v>22.21</v>
      </c>
      <c r="U39" s="473">
        <v>58.57</v>
      </c>
      <c r="Y39" s="473">
        <v>58.57</v>
      </c>
      <c r="AC39" s="473">
        <v>2.57</v>
      </c>
      <c r="AG39" s="473">
        <v>1.89</v>
      </c>
      <c r="AK39" s="473">
        <v>4.8499999999999996</v>
      </c>
      <c r="AP39" s="473">
        <v>735.09</v>
      </c>
      <c r="AT39" s="473">
        <v>640.39</v>
      </c>
      <c r="AX39" s="473">
        <v>13278.21</v>
      </c>
    </row>
    <row r="40" spans="1:52">
      <c r="A40" s="403">
        <v>39871</v>
      </c>
      <c r="B40" s="405">
        <v>4210.92</v>
      </c>
      <c r="C40" s="402">
        <v>32.42</v>
      </c>
      <c r="D40" s="402">
        <v>40.479999999999997</v>
      </c>
      <c r="E40" s="407">
        <v>-0.26220240111670884</v>
      </c>
      <c r="F40" s="407">
        <v>-1.4697141463796122E-2</v>
      </c>
      <c r="G40" s="407">
        <v>3.8529252662452732E-2</v>
      </c>
      <c r="H40" s="406">
        <v>1E-4</v>
      </c>
      <c r="I40" s="407">
        <v>-0.26230240111670883</v>
      </c>
      <c r="J40" s="407">
        <v>-1.4797141463796121E-2</v>
      </c>
      <c r="K40" s="407">
        <v>3.8429252662452729E-2</v>
      </c>
      <c r="M40" s="456">
        <v>18.010000000000002</v>
      </c>
      <c r="N40" s="28">
        <f>LN(M40/M39)</f>
        <v>-0.20011529417045104</v>
      </c>
      <c r="O40" s="28">
        <f>N40-H40</f>
        <v>-0.20021529417045103</v>
      </c>
      <c r="Q40" s="472">
        <v>22.82</v>
      </c>
      <c r="R40" s="472">
        <f t="shared" ref="R40:R71" si="2">LN(Q40/Q39)</f>
        <v>2.70947065275935E-2</v>
      </c>
      <c r="S40" s="28">
        <f>R40-H40</f>
        <v>2.69947065275935E-2</v>
      </c>
      <c r="U40" s="473">
        <v>55.53</v>
      </c>
      <c r="V40" s="473">
        <f t="shared" ref="V40:V71" si="3">LN(U40/U39)</f>
        <v>-5.3299204848175116E-2</v>
      </c>
      <c r="W40" s="28">
        <f>V40-H40</f>
        <v>-5.3399204848175119E-2</v>
      </c>
      <c r="Y40" s="473">
        <v>55.53</v>
      </c>
      <c r="Z40" s="473">
        <f>LN(Y40/Y39)</f>
        <v>-5.3299204848175116E-2</v>
      </c>
      <c r="AA40" s="28">
        <f>Z40-H40</f>
        <v>-5.3399204848175119E-2</v>
      </c>
      <c r="AC40" s="473">
        <v>2.69</v>
      </c>
      <c r="AD40" s="473">
        <f>LN(AC40/AC39)</f>
        <v>4.563529470661936E-2</v>
      </c>
      <c r="AE40" s="28">
        <f>AD40-H40</f>
        <v>4.5535294706619357E-2</v>
      </c>
      <c r="AG40" s="473">
        <v>2.2799999999999998</v>
      </c>
      <c r="AH40" s="473">
        <f t="shared" ref="AH40:AH71" si="4">LN(AG40/AG39)</f>
        <v>0.18759861389479834</v>
      </c>
      <c r="AI40" s="473">
        <f t="shared" ref="AI40:AI71" si="5">AH40-H41</f>
        <v>0.18749861389479835</v>
      </c>
      <c r="AK40" s="473">
        <v>4.1749999999999998</v>
      </c>
      <c r="AL40" s="473">
        <f>LN(AK40/AK39)</f>
        <v>-0.14986434664657297</v>
      </c>
      <c r="AM40" s="28">
        <f>AL40-H41</f>
        <v>-0.14996434664657296</v>
      </c>
      <c r="AP40" s="473">
        <v>797.87</v>
      </c>
      <c r="AQ40" s="473">
        <f>LN(AP40/AP39)</f>
        <v>8.1952736214643773E-2</v>
      </c>
      <c r="AR40" s="28">
        <f>AQ40-H40</f>
        <v>8.185273621464377E-2</v>
      </c>
      <c r="AT40" s="473">
        <v>653.04</v>
      </c>
      <c r="AU40" s="473">
        <f t="shared" ref="AU40:AU103" si="6">LN(AT40/AT39)</f>
        <v>1.9561017382934788E-2</v>
      </c>
      <c r="AV40" s="28">
        <f>AU40-H40</f>
        <v>1.9461017382934789E-2</v>
      </c>
      <c r="AX40" s="473">
        <v>12811.57</v>
      </c>
      <c r="AY40" s="473">
        <f t="shared" ref="AY40:AY103" si="7">LN(AX40/AX39)</f>
        <v>-3.5775676908458322E-2</v>
      </c>
      <c r="AZ40" s="28">
        <f>AY40-H40</f>
        <v>-3.5875676908458325E-2</v>
      </c>
    </row>
    <row r="41" spans="1:52">
      <c r="A41" s="403">
        <v>39903</v>
      </c>
      <c r="B41" s="405">
        <v>4745.09</v>
      </c>
      <c r="C41" s="402">
        <v>40.909999999999997</v>
      </c>
      <c r="D41" s="402">
        <v>39.950000000000003</v>
      </c>
      <c r="E41" s="407">
        <v>0.11942924807946083</v>
      </c>
      <c r="F41" s="407">
        <v>0.23259901563377702</v>
      </c>
      <c r="G41" s="407">
        <v>-1.3179352766926269E-2</v>
      </c>
      <c r="H41" s="406">
        <v>1E-4</v>
      </c>
      <c r="I41" s="407">
        <v>0.11932924807946083</v>
      </c>
      <c r="J41" s="407">
        <v>0.23249901563377703</v>
      </c>
      <c r="K41" s="407">
        <v>-1.3279352766926268E-2</v>
      </c>
      <c r="M41" s="456">
        <v>19.079999999999998</v>
      </c>
      <c r="N41" s="456">
        <f t="shared" ref="N41:N104" si="8">LN(M41/M40)</f>
        <v>5.7713506832275496E-2</v>
      </c>
      <c r="O41" s="456">
        <f t="shared" ref="O41:O104" si="9">N41-H41</f>
        <v>5.7613506832275493E-2</v>
      </c>
      <c r="Q41" s="472">
        <v>31.4</v>
      </c>
      <c r="R41" s="472">
        <f t="shared" si="2"/>
        <v>0.31917054848027804</v>
      </c>
      <c r="S41" s="473">
        <f t="shared" ref="S41:S104" si="10">R41-H41</f>
        <v>0.31907054848027805</v>
      </c>
      <c r="U41" s="473">
        <v>58.13</v>
      </c>
      <c r="V41" s="473">
        <f t="shared" si="3"/>
        <v>4.5758466459743428E-2</v>
      </c>
      <c r="W41" s="473">
        <f t="shared" ref="W41:W104" si="11">V41-H41</f>
        <v>4.5658466459743426E-2</v>
      </c>
      <c r="Y41" s="473">
        <v>58.13</v>
      </c>
      <c r="Z41" s="473">
        <f t="shared" ref="Z41:Z104" si="12">LN(Y41/Y40)</f>
        <v>4.5758466459743428E-2</v>
      </c>
      <c r="AA41" s="473">
        <f t="shared" ref="AA41:AA104" si="13">Z41-H41</f>
        <v>4.5658466459743426E-2</v>
      </c>
      <c r="AC41" s="473">
        <v>3.74</v>
      </c>
      <c r="AD41" s="473">
        <f t="shared" ref="AD41:AD104" si="14">LN(AC41/AC40)</f>
        <v>0.32954441781269284</v>
      </c>
      <c r="AE41" s="473">
        <f t="shared" ref="AE41:AE104" si="15">AD41-H41</f>
        <v>0.32944441781269285</v>
      </c>
      <c r="AG41" s="473">
        <v>3.15</v>
      </c>
      <c r="AH41" s="473">
        <f t="shared" si="4"/>
        <v>0.32322700987119241</v>
      </c>
      <c r="AI41" s="473">
        <f t="shared" si="5"/>
        <v>0.32312700987119242</v>
      </c>
      <c r="AK41" s="473">
        <v>4.9000000000000004</v>
      </c>
      <c r="AL41" s="473">
        <f t="shared" ref="AL41:AL104" si="16">LN(AK41/AK40)</f>
        <v>0.16012084681376224</v>
      </c>
      <c r="AM41" s="473">
        <f t="shared" ref="AM41:AM104" si="17">AL41-H42</f>
        <v>0.16002084681376225</v>
      </c>
      <c r="AP41" s="473">
        <v>872.81</v>
      </c>
      <c r="AQ41" s="473">
        <f t="shared" ref="AQ41:AQ104" si="18">LN(AP41/AP40)</f>
        <v>8.9772214920969498E-2</v>
      </c>
      <c r="AR41" s="473">
        <f t="shared" ref="AR41:AR104" si="19">AQ41-H41</f>
        <v>8.9672214920969495E-2</v>
      </c>
      <c r="AT41" s="473">
        <v>763.89</v>
      </c>
      <c r="AU41" s="473">
        <f t="shared" si="6"/>
        <v>0.15678541659984876</v>
      </c>
      <c r="AV41" s="473">
        <f t="shared" ref="AV41:AV104" si="20">AU41-H41</f>
        <v>0.15668541659984878</v>
      </c>
      <c r="AX41" s="473">
        <v>13576.02</v>
      </c>
      <c r="AY41" s="473">
        <f t="shared" si="7"/>
        <v>5.7956332220490688E-2</v>
      </c>
      <c r="AZ41" s="473">
        <f t="shared" ref="AZ41:AZ104" si="21">AY41-H41</f>
        <v>5.7856332220490685E-2</v>
      </c>
    </row>
    <row r="42" spans="1:52">
      <c r="A42" s="403">
        <v>39933</v>
      </c>
      <c r="B42" s="405">
        <v>5684.85</v>
      </c>
      <c r="C42" s="402">
        <v>46.23</v>
      </c>
      <c r="D42" s="402">
        <v>46.49</v>
      </c>
      <c r="E42" s="407">
        <v>0.18069434241407942</v>
      </c>
      <c r="F42" s="407">
        <v>0.1222544060588268</v>
      </c>
      <c r="G42" s="407">
        <v>0.15160856349020962</v>
      </c>
      <c r="H42" s="406">
        <v>1E-4</v>
      </c>
      <c r="I42" s="407">
        <v>0.18059434241407943</v>
      </c>
      <c r="J42" s="407">
        <v>0.1221544060588268</v>
      </c>
      <c r="K42" s="407">
        <v>0.15150856349020964</v>
      </c>
      <c r="M42" s="456">
        <v>27.145</v>
      </c>
      <c r="N42" s="456">
        <f t="shared" si="8"/>
        <v>0.352552201337274</v>
      </c>
      <c r="O42" s="456">
        <f t="shared" si="9"/>
        <v>0.35245220133727401</v>
      </c>
      <c r="Q42" s="472">
        <v>26.6</v>
      </c>
      <c r="R42" s="472">
        <f t="shared" si="2"/>
        <v>-0.16589667712655426</v>
      </c>
      <c r="S42" s="473">
        <f t="shared" si="10"/>
        <v>-0.16599667712655425</v>
      </c>
      <c r="U42" s="473">
        <v>74.84</v>
      </c>
      <c r="V42" s="473">
        <f t="shared" si="3"/>
        <v>0.25267061969262961</v>
      </c>
      <c r="W42" s="473">
        <f t="shared" si="11"/>
        <v>0.25257061969262962</v>
      </c>
      <c r="Y42" s="473">
        <v>74.84</v>
      </c>
      <c r="Z42" s="473">
        <f t="shared" si="12"/>
        <v>0.25267061969262961</v>
      </c>
      <c r="AA42" s="473">
        <f t="shared" si="13"/>
        <v>0.25257061969262962</v>
      </c>
      <c r="AC42" s="473">
        <v>5.44</v>
      </c>
      <c r="AD42" s="473">
        <f t="shared" si="14"/>
        <v>0.3746934494414107</v>
      </c>
      <c r="AE42" s="473">
        <f t="shared" si="15"/>
        <v>0.37459344944141071</v>
      </c>
      <c r="AG42" s="473">
        <v>3.05</v>
      </c>
      <c r="AH42" s="473">
        <f t="shared" si="4"/>
        <v>-3.2260862218221435E-2</v>
      </c>
      <c r="AI42" s="473">
        <f t="shared" si="5"/>
        <v>-3.2360862218221438E-2</v>
      </c>
      <c r="AK42" s="473">
        <v>7.165</v>
      </c>
      <c r="AL42" s="473">
        <f t="shared" si="16"/>
        <v>0.37997285616355414</v>
      </c>
      <c r="AM42" s="473">
        <f t="shared" si="17"/>
        <v>0.37987285616355415</v>
      </c>
      <c r="AP42" s="473">
        <v>919.14</v>
      </c>
      <c r="AQ42" s="473">
        <f t="shared" si="18"/>
        <v>5.1720558420882315E-2</v>
      </c>
      <c r="AR42" s="473">
        <f t="shared" si="19"/>
        <v>5.1620558420882312E-2</v>
      </c>
      <c r="AT42" s="473">
        <v>776.5</v>
      </c>
      <c r="AU42" s="473">
        <f t="shared" si="6"/>
        <v>1.6372842845792372E-2</v>
      </c>
      <c r="AV42" s="473">
        <f t="shared" si="20"/>
        <v>1.6272842845792373E-2</v>
      </c>
      <c r="AX42" s="473">
        <v>15520.99</v>
      </c>
      <c r="AY42" s="473">
        <f t="shared" si="7"/>
        <v>0.13388830026163759</v>
      </c>
      <c r="AZ42" s="473">
        <f t="shared" si="21"/>
        <v>0.1337883002616376</v>
      </c>
    </row>
    <row r="43" spans="1:52">
      <c r="A43" s="403">
        <v>39962</v>
      </c>
      <c r="B43" s="405">
        <v>5922.01</v>
      </c>
      <c r="C43" s="402">
        <v>46.71</v>
      </c>
      <c r="D43" s="402">
        <v>40.6</v>
      </c>
      <c r="E43" s="407">
        <v>4.0871176666554827E-2</v>
      </c>
      <c r="F43" s="407">
        <v>1.0329336513882733E-2</v>
      </c>
      <c r="G43" s="407">
        <v>-0.13546916909480636</v>
      </c>
      <c r="H43" s="406">
        <v>1E-4</v>
      </c>
      <c r="I43" s="407">
        <v>4.0771176666554824E-2</v>
      </c>
      <c r="J43" s="407">
        <v>1.0229336513882734E-2</v>
      </c>
      <c r="K43" s="407">
        <v>-0.13556916909480635</v>
      </c>
      <c r="M43" s="456">
        <v>25.85</v>
      </c>
      <c r="N43" s="456">
        <f t="shared" si="8"/>
        <v>-4.8882266402976181E-2</v>
      </c>
      <c r="O43" s="456">
        <f t="shared" si="9"/>
        <v>-4.8982266402976184E-2</v>
      </c>
      <c r="Q43" s="472">
        <v>28.9</v>
      </c>
      <c r="R43" s="472">
        <f t="shared" si="2"/>
        <v>8.2930379330732953E-2</v>
      </c>
      <c r="S43" s="473">
        <f t="shared" si="10"/>
        <v>8.2830379330732951E-2</v>
      </c>
      <c r="U43" s="473">
        <v>68.03</v>
      </c>
      <c r="V43" s="473">
        <f t="shared" si="3"/>
        <v>-9.5403717048919492E-2</v>
      </c>
      <c r="W43" s="473">
        <f t="shared" si="11"/>
        <v>-9.5503717048919495E-2</v>
      </c>
      <c r="Y43" s="473">
        <v>68.03</v>
      </c>
      <c r="Z43" s="473">
        <f t="shared" si="12"/>
        <v>-9.5403717048919492E-2</v>
      </c>
      <c r="AA43" s="473">
        <f t="shared" si="13"/>
        <v>-9.5503717048919495E-2</v>
      </c>
      <c r="AC43" s="473">
        <v>6.99</v>
      </c>
      <c r="AD43" s="473">
        <f t="shared" si="14"/>
        <v>0.25070149537786762</v>
      </c>
      <c r="AE43" s="473">
        <f t="shared" si="15"/>
        <v>0.25060149537786763</v>
      </c>
      <c r="AG43" s="473">
        <v>3.28</v>
      </c>
      <c r="AH43" s="473">
        <f t="shared" si="4"/>
        <v>7.2701831776732062E-2</v>
      </c>
      <c r="AI43" s="473">
        <f t="shared" si="5"/>
        <v>7.2601831776732059E-2</v>
      </c>
      <c r="AK43" s="473">
        <v>6.15</v>
      </c>
      <c r="AL43" s="473">
        <f t="shared" si="16"/>
        <v>-0.15275597946170863</v>
      </c>
      <c r="AM43" s="473">
        <f t="shared" si="17"/>
        <v>-0.15285597946170862</v>
      </c>
      <c r="AP43" s="473">
        <v>919.32</v>
      </c>
      <c r="AQ43" s="473">
        <f t="shared" si="18"/>
        <v>1.9581606407012827E-4</v>
      </c>
      <c r="AR43" s="473">
        <f t="shared" si="19"/>
        <v>9.5816064070128264E-5</v>
      </c>
      <c r="AT43" s="473">
        <v>795.8</v>
      </c>
      <c r="AU43" s="473">
        <f t="shared" si="6"/>
        <v>2.4551255404086533E-2</v>
      </c>
      <c r="AV43" s="473">
        <f t="shared" si="20"/>
        <v>2.4451255404086533E-2</v>
      </c>
      <c r="AX43" s="473">
        <v>18171</v>
      </c>
      <c r="AY43" s="473">
        <f t="shared" si="7"/>
        <v>0.15763361528646339</v>
      </c>
      <c r="AZ43" s="473">
        <f t="shared" si="21"/>
        <v>0.1575336152864634</v>
      </c>
    </row>
    <row r="44" spans="1:52">
      <c r="A44" s="403">
        <v>39993</v>
      </c>
      <c r="B44" s="405">
        <v>5762.11</v>
      </c>
      <c r="C44" s="402">
        <v>40.47</v>
      </c>
      <c r="D44" s="402">
        <v>38.85</v>
      </c>
      <c r="E44" s="407">
        <v>-2.7372191223026195E-2</v>
      </c>
      <c r="F44" s="407">
        <v>-0.14339731562624253</v>
      </c>
      <c r="G44" s="407">
        <v>-4.4059989794030543E-2</v>
      </c>
      <c r="H44" s="406">
        <v>1E-4</v>
      </c>
      <c r="I44" s="407">
        <v>-2.7472191223026195E-2</v>
      </c>
      <c r="J44" s="407">
        <v>-0.14349731562624252</v>
      </c>
      <c r="K44" s="407">
        <v>-4.4159989794030546E-2</v>
      </c>
      <c r="M44" s="456">
        <v>25.78</v>
      </c>
      <c r="N44" s="456">
        <f t="shared" si="8"/>
        <v>-2.7116034433968023E-3</v>
      </c>
      <c r="O44" s="456">
        <f t="shared" si="9"/>
        <v>-2.8116034433968021E-3</v>
      </c>
      <c r="Q44" s="472">
        <v>30.88</v>
      </c>
      <c r="R44" s="472">
        <f t="shared" si="2"/>
        <v>6.626713003818889E-2</v>
      </c>
      <c r="S44" s="473">
        <f t="shared" si="10"/>
        <v>6.6167130038188887E-2</v>
      </c>
      <c r="U44" s="473">
        <v>68.25</v>
      </c>
      <c r="V44" s="473">
        <f t="shared" si="3"/>
        <v>3.2286497080996285E-3</v>
      </c>
      <c r="W44" s="473">
        <f t="shared" si="11"/>
        <v>3.1286497080996287E-3</v>
      </c>
      <c r="Y44" s="473">
        <v>68.25</v>
      </c>
      <c r="Z44" s="473">
        <f t="shared" si="12"/>
        <v>3.2286497080996285E-3</v>
      </c>
      <c r="AA44" s="473">
        <f t="shared" si="13"/>
        <v>3.1286497080996287E-3</v>
      </c>
      <c r="AC44" s="473">
        <v>6.14</v>
      </c>
      <c r="AD44" s="473">
        <f t="shared" si="14"/>
        <v>-0.12965581408666785</v>
      </c>
      <c r="AE44" s="473">
        <f t="shared" si="15"/>
        <v>-0.12975581408666784</v>
      </c>
      <c r="AG44" s="473">
        <v>3.33</v>
      </c>
      <c r="AH44" s="473">
        <f t="shared" si="4"/>
        <v>1.5128881596300218E-2</v>
      </c>
      <c r="AI44" s="473">
        <f t="shared" si="5"/>
        <v>1.5028881596300218E-2</v>
      </c>
      <c r="AK44" s="473">
        <v>5.7249999999999996</v>
      </c>
      <c r="AL44" s="473">
        <f t="shared" si="16"/>
        <v>-7.1609532378123258E-2</v>
      </c>
      <c r="AM44" s="473">
        <f t="shared" si="17"/>
        <v>-7.1709532378123261E-2</v>
      </c>
      <c r="AP44" s="473">
        <v>987.48</v>
      </c>
      <c r="AQ44" s="473">
        <f t="shared" si="18"/>
        <v>7.1521977088891908E-2</v>
      </c>
      <c r="AR44" s="473">
        <f t="shared" si="19"/>
        <v>7.1421977088891905E-2</v>
      </c>
      <c r="AT44" s="473">
        <v>882.05</v>
      </c>
      <c r="AU44" s="473">
        <f t="shared" si="6"/>
        <v>0.10290084574958656</v>
      </c>
      <c r="AV44" s="473">
        <f t="shared" si="20"/>
        <v>0.10280084574958656</v>
      </c>
      <c r="AX44" s="473">
        <v>18378.73</v>
      </c>
      <c r="AY44" s="473">
        <f t="shared" si="7"/>
        <v>1.1367101028928104E-2</v>
      </c>
      <c r="AZ44" s="473">
        <f t="shared" si="21"/>
        <v>1.1267101028928105E-2</v>
      </c>
    </row>
    <row r="45" spans="1:52">
      <c r="A45" s="403">
        <v>40025</v>
      </c>
      <c r="B45" s="405">
        <v>6204.36</v>
      </c>
      <c r="C45" s="402">
        <v>47.04</v>
      </c>
      <c r="D45" s="402">
        <v>38.549999999999997</v>
      </c>
      <c r="E45" s="407">
        <v>7.3948543636432634E-2</v>
      </c>
      <c r="F45" s="407">
        <v>0.15043734470259726</v>
      </c>
      <c r="G45" s="407">
        <v>-7.7519768043180478E-3</v>
      </c>
      <c r="H45" s="406">
        <v>1E-4</v>
      </c>
      <c r="I45" s="407">
        <v>7.3848543636432631E-2</v>
      </c>
      <c r="J45" s="407">
        <v>0.15033734470259727</v>
      </c>
      <c r="K45" s="407">
        <v>-7.851976804318048E-3</v>
      </c>
      <c r="M45" s="456">
        <v>32.47</v>
      </c>
      <c r="N45" s="456">
        <f t="shared" si="8"/>
        <v>0.23071758860371311</v>
      </c>
      <c r="O45" s="456">
        <f t="shared" si="9"/>
        <v>0.23061758860371312</v>
      </c>
      <c r="Q45" s="472">
        <v>32.32</v>
      </c>
      <c r="R45" s="472">
        <f t="shared" si="2"/>
        <v>4.5577508496319155E-2</v>
      </c>
      <c r="S45" s="473">
        <f t="shared" si="10"/>
        <v>4.5477508496319152E-2</v>
      </c>
      <c r="U45" s="473">
        <v>75.39</v>
      </c>
      <c r="V45" s="473">
        <f t="shared" si="3"/>
        <v>9.9497206158541338E-2</v>
      </c>
      <c r="W45" s="473">
        <f t="shared" si="11"/>
        <v>9.9397206158541335E-2</v>
      </c>
      <c r="Y45" s="473">
        <v>75.39</v>
      </c>
      <c r="Z45" s="473">
        <f t="shared" si="12"/>
        <v>9.9497206158541338E-2</v>
      </c>
      <c r="AA45" s="473">
        <f t="shared" si="13"/>
        <v>9.9397206158541335E-2</v>
      </c>
      <c r="AC45" s="473">
        <v>7.76</v>
      </c>
      <c r="AD45" s="473">
        <f t="shared" si="14"/>
        <v>0.23415759203607639</v>
      </c>
      <c r="AE45" s="473">
        <f t="shared" si="15"/>
        <v>0.2340575920360764</v>
      </c>
      <c r="AG45" s="473">
        <v>3.45</v>
      </c>
      <c r="AH45" s="473">
        <f t="shared" si="4"/>
        <v>3.5401927050916E-2</v>
      </c>
      <c r="AI45" s="473">
        <f t="shared" si="5"/>
        <v>3.5301927050915997E-2</v>
      </c>
      <c r="AK45" s="473">
        <v>5.2</v>
      </c>
      <c r="AL45" s="473">
        <f t="shared" si="16"/>
        <v>-9.6183923852921543E-2</v>
      </c>
      <c r="AM45" s="473">
        <f t="shared" si="17"/>
        <v>-9.6283923852921546E-2</v>
      </c>
      <c r="AP45" s="473">
        <v>1020.62</v>
      </c>
      <c r="AQ45" s="473">
        <f t="shared" si="18"/>
        <v>3.3009321348136535E-2</v>
      </c>
      <c r="AR45" s="473">
        <f t="shared" si="19"/>
        <v>3.2909321348136532E-2</v>
      </c>
      <c r="AT45" s="473">
        <v>904.84</v>
      </c>
      <c r="AU45" s="473">
        <f t="shared" si="6"/>
        <v>2.5509388747220037E-2</v>
      </c>
      <c r="AV45" s="473">
        <f t="shared" si="20"/>
        <v>2.5409388747220037E-2</v>
      </c>
      <c r="AX45" s="473">
        <v>20573.330000000002</v>
      </c>
      <c r="AY45" s="473">
        <f t="shared" si="7"/>
        <v>0.11280155910895437</v>
      </c>
      <c r="AZ45" s="473">
        <f t="shared" si="21"/>
        <v>0.11270155910895437</v>
      </c>
    </row>
    <row r="46" spans="1:52">
      <c r="A46" s="403">
        <v>40056</v>
      </c>
      <c r="B46" s="405">
        <v>6722.83</v>
      </c>
      <c r="C46" s="402">
        <v>53.57</v>
      </c>
      <c r="D46" s="402">
        <v>39.83</v>
      </c>
      <c r="E46" s="407">
        <v>8.0256926126597558E-2</v>
      </c>
      <c r="F46" s="407">
        <v>0.12999090630249746</v>
      </c>
      <c r="G46" s="407">
        <v>3.2664297184214465E-2</v>
      </c>
      <c r="H46" s="406">
        <v>1E-4</v>
      </c>
      <c r="I46" s="407">
        <v>8.0156926126597555E-2</v>
      </c>
      <c r="J46" s="407">
        <v>0.12989090630249747</v>
      </c>
      <c r="K46" s="407">
        <v>3.2564297184214462E-2</v>
      </c>
      <c r="M46" s="456">
        <v>31.53</v>
      </c>
      <c r="N46" s="456">
        <f t="shared" si="8"/>
        <v>-2.9377112557785041E-2</v>
      </c>
      <c r="O46" s="456">
        <f t="shared" si="9"/>
        <v>-2.947711255778504E-2</v>
      </c>
      <c r="Q46" s="472">
        <v>33.69</v>
      </c>
      <c r="R46" s="472">
        <f t="shared" si="2"/>
        <v>4.1514823765566776E-2</v>
      </c>
      <c r="S46" s="473">
        <f t="shared" si="10"/>
        <v>4.1414823765566773E-2</v>
      </c>
      <c r="U46" s="473">
        <v>78.290000000000006</v>
      </c>
      <c r="V46" s="473">
        <f t="shared" si="3"/>
        <v>3.7745240696212413E-2</v>
      </c>
      <c r="W46" s="473">
        <f t="shared" si="11"/>
        <v>3.7645240696212411E-2</v>
      </c>
      <c r="Y46" s="473">
        <v>78.290000000000006</v>
      </c>
      <c r="Z46" s="473">
        <f t="shared" si="12"/>
        <v>3.7745240696212413E-2</v>
      </c>
      <c r="AA46" s="473">
        <f t="shared" si="13"/>
        <v>3.7645240696212411E-2</v>
      </c>
      <c r="AC46" s="473">
        <v>7.53</v>
      </c>
      <c r="AD46" s="473">
        <f t="shared" si="14"/>
        <v>-3.0087292383325064E-2</v>
      </c>
      <c r="AE46" s="473">
        <f t="shared" si="15"/>
        <v>-3.0187292383325064E-2</v>
      </c>
      <c r="AG46" s="473">
        <v>3.45</v>
      </c>
      <c r="AH46" s="473">
        <f t="shared" si="4"/>
        <v>0</v>
      </c>
      <c r="AI46" s="473">
        <f t="shared" si="5"/>
        <v>-1E-4</v>
      </c>
      <c r="AK46" s="473">
        <v>6.1</v>
      </c>
      <c r="AL46" s="473">
        <f t="shared" si="16"/>
        <v>0.15963014559188374</v>
      </c>
      <c r="AM46" s="473">
        <f t="shared" si="17"/>
        <v>0.15953014559188375</v>
      </c>
      <c r="AP46" s="473">
        <v>1057.08</v>
      </c>
      <c r="AQ46" s="473">
        <f t="shared" si="18"/>
        <v>3.5100104155946166E-2</v>
      </c>
      <c r="AR46" s="473">
        <f t="shared" si="19"/>
        <v>3.5000104155946163E-2</v>
      </c>
      <c r="AT46" s="473">
        <v>896.76</v>
      </c>
      <c r="AU46" s="473">
        <f t="shared" si="6"/>
        <v>-8.9698647594358104E-3</v>
      </c>
      <c r="AV46" s="473">
        <f t="shared" si="20"/>
        <v>-9.0698647594358098E-3</v>
      </c>
      <c r="AX46" s="473">
        <v>19724.189999999999</v>
      </c>
      <c r="AY46" s="473">
        <f t="shared" si="7"/>
        <v>-4.2149775554823167E-2</v>
      </c>
      <c r="AZ46" s="473">
        <f t="shared" si="21"/>
        <v>-4.224977555482317E-2</v>
      </c>
    </row>
    <row r="47" spans="1:52">
      <c r="A47" s="403">
        <v>40086</v>
      </c>
      <c r="B47" s="405">
        <v>7358.53</v>
      </c>
      <c r="C47" s="402">
        <v>55.63</v>
      </c>
      <c r="D47" s="402">
        <v>40.53</v>
      </c>
      <c r="E47" s="407">
        <v>9.0350987694882187E-2</v>
      </c>
      <c r="F47" s="407">
        <v>3.7733414194332932E-2</v>
      </c>
      <c r="G47" s="407">
        <v>1.7422043446664415E-2</v>
      </c>
      <c r="H47" s="406">
        <v>1E-4</v>
      </c>
      <c r="I47" s="407">
        <v>9.0250987694882184E-2</v>
      </c>
      <c r="J47" s="407">
        <v>3.7633414194332929E-2</v>
      </c>
      <c r="K47" s="407">
        <v>1.7322043446664416E-2</v>
      </c>
      <c r="L47" s="11"/>
      <c r="M47" s="456">
        <v>34.405000000000001</v>
      </c>
      <c r="N47" s="456">
        <f t="shared" si="8"/>
        <v>8.7262429097473782E-2</v>
      </c>
      <c r="O47" s="456">
        <f t="shared" si="9"/>
        <v>8.7162429097473779E-2</v>
      </c>
      <c r="Q47" s="472">
        <v>33.43</v>
      </c>
      <c r="R47" s="472">
        <f t="shared" si="2"/>
        <v>-7.7473569864542147E-3</v>
      </c>
      <c r="S47" s="473">
        <f t="shared" si="10"/>
        <v>-7.847356986454215E-3</v>
      </c>
      <c r="U47" s="473">
        <v>77.17</v>
      </c>
      <c r="V47" s="473">
        <f t="shared" si="3"/>
        <v>-1.4409100450311211E-2</v>
      </c>
      <c r="W47" s="473">
        <f t="shared" si="11"/>
        <v>-1.4509100450311211E-2</v>
      </c>
      <c r="Y47" s="473">
        <v>77.17</v>
      </c>
      <c r="Z47" s="473">
        <f t="shared" si="12"/>
        <v>-1.4409100450311211E-2</v>
      </c>
      <c r="AA47" s="473">
        <f t="shared" si="13"/>
        <v>-1.4509100450311211E-2</v>
      </c>
      <c r="AC47" s="473">
        <v>7.74</v>
      </c>
      <c r="AD47" s="473">
        <f t="shared" si="14"/>
        <v>2.7506645789833514E-2</v>
      </c>
      <c r="AE47" s="473">
        <f t="shared" si="15"/>
        <v>2.7406645789833515E-2</v>
      </c>
      <c r="AG47" s="473">
        <v>3.17</v>
      </c>
      <c r="AH47" s="473">
        <f t="shared" si="4"/>
        <v>-8.4642643154079197E-2</v>
      </c>
      <c r="AI47" s="473">
        <f t="shared" si="5"/>
        <v>-8.47426431540792E-2</v>
      </c>
      <c r="AK47" s="473">
        <v>6.45</v>
      </c>
      <c r="AL47" s="473">
        <f t="shared" si="16"/>
        <v>5.5791359628415721E-2</v>
      </c>
      <c r="AM47" s="473">
        <f t="shared" si="17"/>
        <v>5.5691359628415718E-2</v>
      </c>
      <c r="AP47" s="473">
        <v>1036.19</v>
      </c>
      <c r="AQ47" s="473">
        <f t="shared" si="18"/>
        <v>-1.9959865222177731E-2</v>
      </c>
      <c r="AR47" s="473">
        <f t="shared" si="19"/>
        <v>-2.0059865222177731E-2</v>
      </c>
      <c r="AT47" s="473">
        <v>944.67</v>
      </c>
      <c r="AU47" s="473">
        <f t="shared" si="6"/>
        <v>5.204739242760182E-2</v>
      </c>
      <c r="AV47" s="473">
        <f t="shared" si="20"/>
        <v>5.1947392427601817E-2</v>
      </c>
      <c r="AX47" s="473">
        <v>20955.25</v>
      </c>
      <c r="AY47" s="473">
        <f t="shared" si="7"/>
        <v>6.0543410382780834E-2</v>
      </c>
      <c r="AZ47" s="473">
        <f t="shared" si="21"/>
        <v>6.0443410382780831E-2</v>
      </c>
    </row>
    <row r="48" spans="1:52">
      <c r="A48" s="403">
        <v>40116</v>
      </c>
      <c r="B48" s="405">
        <v>6732.07</v>
      </c>
      <c r="C48" s="402">
        <v>55.41</v>
      </c>
      <c r="D48" s="402">
        <v>41.27</v>
      </c>
      <c r="E48" s="407">
        <v>-8.8977510158436926E-2</v>
      </c>
      <c r="F48" s="407">
        <v>-3.9625412079436128E-3</v>
      </c>
      <c r="G48" s="407">
        <v>1.8093403124273291E-2</v>
      </c>
      <c r="H48" s="406">
        <v>1E-4</v>
      </c>
      <c r="I48" s="407">
        <v>-8.9077510158436929E-2</v>
      </c>
      <c r="J48" s="407">
        <v>-4.0625412079436131E-3</v>
      </c>
      <c r="K48" s="407">
        <v>1.7993403124273291E-2</v>
      </c>
      <c r="M48" s="456">
        <v>33.08</v>
      </c>
      <c r="N48" s="456">
        <f t="shared" si="8"/>
        <v>-3.9273032498952712E-2</v>
      </c>
      <c r="O48" s="456">
        <f t="shared" si="9"/>
        <v>-3.9373032498952715E-2</v>
      </c>
      <c r="Q48" s="472">
        <v>33.21</v>
      </c>
      <c r="R48" s="472">
        <f t="shared" si="2"/>
        <v>-6.6026650433519685E-3</v>
      </c>
      <c r="S48" s="473">
        <f t="shared" si="10"/>
        <v>-6.7026650433519687E-3</v>
      </c>
      <c r="U48" s="473">
        <v>82.62</v>
      </c>
      <c r="V48" s="473">
        <f t="shared" si="3"/>
        <v>6.8241001499106876E-2</v>
      </c>
      <c r="W48" s="473">
        <f t="shared" si="11"/>
        <v>6.8141001499106874E-2</v>
      </c>
      <c r="Y48" s="473">
        <v>82.62</v>
      </c>
      <c r="Z48" s="473">
        <f t="shared" si="12"/>
        <v>6.8241001499106876E-2</v>
      </c>
      <c r="AA48" s="473">
        <f t="shared" si="13"/>
        <v>6.8141001499106874E-2</v>
      </c>
      <c r="AC48" s="473">
        <v>8.84</v>
      </c>
      <c r="AD48" s="473">
        <f t="shared" si="14"/>
        <v>0.13288518904791621</v>
      </c>
      <c r="AE48" s="473">
        <f t="shared" si="15"/>
        <v>0.13278518904791622</v>
      </c>
      <c r="AG48" s="473">
        <v>3.04</v>
      </c>
      <c r="AH48" s="473">
        <f t="shared" si="4"/>
        <v>-4.1874072471058885E-2</v>
      </c>
      <c r="AI48" s="473">
        <f t="shared" si="5"/>
        <v>-4.1974072471058888E-2</v>
      </c>
      <c r="AK48" s="473">
        <v>7.3250000000000002</v>
      </c>
      <c r="AL48" s="473">
        <f t="shared" si="16"/>
        <v>0.12721302409544991</v>
      </c>
      <c r="AM48" s="473">
        <f t="shared" si="17"/>
        <v>0.12711302409544992</v>
      </c>
      <c r="AP48" s="473">
        <v>1095.6300000000001</v>
      </c>
      <c r="AQ48" s="473">
        <f t="shared" si="18"/>
        <v>5.5779015582807137E-2</v>
      </c>
      <c r="AR48" s="473">
        <f t="shared" si="19"/>
        <v>5.5679015582807134E-2</v>
      </c>
      <c r="AT48" s="473">
        <v>936.19</v>
      </c>
      <c r="AU48" s="473">
        <f t="shared" si="6"/>
        <v>-9.0172128271945318E-3</v>
      </c>
      <c r="AV48" s="473">
        <f t="shared" si="20"/>
        <v>-9.1172128271945312E-3</v>
      </c>
      <c r="AX48" s="473">
        <v>21752.87</v>
      </c>
      <c r="AY48" s="473">
        <f t="shared" si="7"/>
        <v>3.7356491219755178E-2</v>
      </c>
      <c r="AZ48" s="473">
        <f t="shared" si="21"/>
        <v>3.7256491219755175E-2</v>
      </c>
    </row>
    <row r="49" spans="1:52">
      <c r="A49" s="403">
        <v>40147</v>
      </c>
      <c r="B49" s="405">
        <v>7099.99</v>
      </c>
      <c r="C49" s="402">
        <v>53.61</v>
      </c>
      <c r="D49" s="402">
        <v>40.369999999999997</v>
      </c>
      <c r="E49" s="407">
        <v>5.3210701222440503E-2</v>
      </c>
      <c r="F49" s="407">
        <v>-3.3024465039811907E-2</v>
      </c>
      <c r="G49" s="407">
        <v>-2.2048908899641104E-2</v>
      </c>
      <c r="H49" s="406">
        <v>1E-4</v>
      </c>
      <c r="I49" s="407">
        <v>5.31107012224405E-2</v>
      </c>
      <c r="J49" s="407">
        <v>-3.3124465039811909E-2</v>
      </c>
      <c r="K49" s="407">
        <v>-2.2148908899641103E-2</v>
      </c>
      <c r="M49" s="456">
        <v>33.72</v>
      </c>
      <c r="N49" s="456">
        <f t="shared" si="8"/>
        <v>1.9162262978164212E-2</v>
      </c>
      <c r="O49" s="456">
        <f t="shared" si="9"/>
        <v>1.9062262978164213E-2</v>
      </c>
      <c r="Q49" s="472">
        <v>32.479999999999997</v>
      </c>
      <c r="R49" s="472">
        <f t="shared" si="2"/>
        <v>-2.2226520095178098E-2</v>
      </c>
      <c r="S49" s="473">
        <f t="shared" si="10"/>
        <v>-2.2326520095178097E-2</v>
      </c>
      <c r="U49" s="473">
        <v>85.65</v>
      </c>
      <c r="V49" s="473">
        <f t="shared" si="3"/>
        <v>3.6017442801510431E-2</v>
      </c>
      <c r="W49" s="473">
        <f t="shared" si="11"/>
        <v>3.5917442801510428E-2</v>
      </c>
      <c r="Y49" s="473">
        <v>85.65</v>
      </c>
      <c r="Z49" s="473">
        <f t="shared" si="12"/>
        <v>3.6017442801510431E-2</v>
      </c>
      <c r="AA49" s="473">
        <f t="shared" si="13"/>
        <v>3.5917442801510428E-2</v>
      </c>
      <c r="AC49" s="473">
        <v>11.18</v>
      </c>
      <c r="AD49" s="473">
        <f t="shared" si="14"/>
        <v>0.23483959107740099</v>
      </c>
      <c r="AE49" s="473">
        <f t="shared" si="15"/>
        <v>0.234739591077401</v>
      </c>
      <c r="AG49" s="473">
        <v>3.36</v>
      </c>
      <c r="AH49" s="473">
        <f t="shared" si="4"/>
        <v>0.10008345855698243</v>
      </c>
      <c r="AI49" s="473">
        <f t="shared" si="5"/>
        <v>9.998345855698243E-2</v>
      </c>
      <c r="AK49" s="473">
        <v>7.63</v>
      </c>
      <c r="AL49" s="473">
        <f t="shared" si="16"/>
        <v>4.0794690393234544E-2</v>
      </c>
      <c r="AM49" s="473">
        <f t="shared" si="17"/>
        <v>4.0694690393234541E-2</v>
      </c>
      <c r="AP49" s="473">
        <v>1115.0999999999999</v>
      </c>
      <c r="AQ49" s="473">
        <f t="shared" si="18"/>
        <v>1.7614546700982087E-2</v>
      </c>
      <c r="AR49" s="473">
        <f t="shared" si="19"/>
        <v>1.7514546700982087E-2</v>
      </c>
      <c r="AT49" s="473">
        <v>951.72</v>
      </c>
      <c r="AU49" s="473">
        <f t="shared" si="6"/>
        <v>1.6452426552622336E-2</v>
      </c>
      <c r="AV49" s="473">
        <f t="shared" si="20"/>
        <v>1.6352426552622337E-2</v>
      </c>
      <c r="AX49" s="473">
        <v>21821.5</v>
      </c>
      <c r="AY49" s="473">
        <f t="shared" si="7"/>
        <v>3.1500194609411377E-3</v>
      </c>
      <c r="AZ49" s="473">
        <f t="shared" si="21"/>
        <v>3.0500194609411379E-3</v>
      </c>
    </row>
    <row r="50" spans="1:52">
      <c r="A50" s="403">
        <v>40178</v>
      </c>
      <c r="B50" s="405">
        <v>7784.41</v>
      </c>
      <c r="C50" s="402">
        <v>54.98</v>
      </c>
      <c r="D50" s="402">
        <v>41</v>
      </c>
      <c r="E50" s="407">
        <v>9.2029640048997233E-2</v>
      </c>
      <c r="F50" s="407">
        <v>2.5233864897653318E-2</v>
      </c>
      <c r="G50" s="407">
        <v>1.5485131839458514E-2</v>
      </c>
      <c r="H50" s="406">
        <v>1E-4</v>
      </c>
      <c r="I50" s="407">
        <v>9.192964004899723E-2</v>
      </c>
      <c r="J50" s="407">
        <v>2.5133864897653319E-2</v>
      </c>
      <c r="K50" s="407">
        <v>1.5385131839458515E-2</v>
      </c>
      <c r="M50" s="456">
        <v>37.229999999999997</v>
      </c>
      <c r="N50" s="456">
        <f t="shared" si="8"/>
        <v>9.9023754750970749E-2</v>
      </c>
      <c r="O50" s="456">
        <f t="shared" si="9"/>
        <v>9.8923754750970747E-2</v>
      </c>
      <c r="Q50" s="472">
        <v>32.270000000000003</v>
      </c>
      <c r="R50" s="472">
        <f t="shared" si="2"/>
        <v>-6.4865092296065496E-3</v>
      </c>
      <c r="S50" s="473">
        <f t="shared" si="10"/>
        <v>-6.5865092296065499E-3</v>
      </c>
      <c r="U50" s="473">
        <v>82.35</v>
      </c>
      <c r="V50" s="473">
        <f t="shared" si="3"/>
        <v>-3.9290768146479686E-2</v>
      </c>
      <c r="W50" s="473">
        <f t="shared" si="11"/>
        <v>-3.9390768146479689E-2</v>
      </c>
      <c r="Y50" s="473">
        <v>82.35</v>
      </c>
      <c r="Z50" s="473">
        <f t="shared" si="12"/>
        <v>-3.9290768146479686E-2</v>
      </c>
      <c r="AA50" s="473">
        <f t="shared" si="13"/>
        <v>-3.9390768146479689E-2</v>
      </c>
      <c r="AC50" s="473">
        <v>10.5</v>
      </c>
      <c r="AD50" s="473">
        <f t="shared" si="14"/>
        <v>-6.2751210563475365E-2</v>
      </c>
      <c r="AE50" s="473">
        <f t="shared" si="15"/>
        <v>-6.2851210563475368E-2</v>
      </c>
      <c r="AG50" s="473">
        <v>3.35</v>
      </c>
      <c r="AH50" s="473">
        <f t="shared" si="4"/>
        <v>-2.9806281381377893E-3</v>
      </c>
      <c r="AI50" s="473">
        <f t="shared" si="5"/>
        <v>-3.0806281381377892E-3</v>
      </c>
      <c r="AK50" s="473">
        <v>8.5</v>
      </c>
      <c r="AL50" s="473">
        <f t="shared" si="16"/>
        <v>0.10797831819990521</v>
      </c>
      <c r="AM50" s="473">
        <f t="shared" si="17"/>
        <v>0.1078783181999052</v>
      </c>
      <c r="AP50" s="473">
        <v>1073.8699999999999</v>
      </c>
      <c r="AQ50" s="473">
        <f t="shared" si="18"/>
        <v>-3.7675141059320766E-2</v>
      </c>
      <c r="AR50" s="473">
        <f t="shared" si="19"/>
        <v>-3.7775141059320769E-2</v>
      </c>
      <c r="AT50" s="473">
        <v>953.71</v>
      </c>
      <c r="AU50" s="473">
        <f t="shared" si="6"/>
        <v>2.0887681242793745E-3</v>
      </c>
      <c r="AV50" s="473">
        <f t="shared" si="20"/>
        <v>1.9887681242793747E-3</v>
      </c>
      <c r="AX50" s="473">
        <v>21872.5</v>
      </c>
      <c r="AY50" s="473">
        <f t="shared" si="7"/>
        <v>2.3344176848262956E-3</v>
      </c>
      <c r="AZ50" s="473">
        <f t="shared" si="21"/>
        <v>2.2344176848262958E-3</v>
      </c>
    </row>
    <row r="51" spans="1:52">
      <c r="A51" s="403">
        <v>40207</v>
      </c>
      <c r="B51" s="405">
        <v>7458.38</v>
      </c>
      <c r="C51" s="402">
        <v>50.59</v>
      </c>
      <c r="D51" s="402">
        <v>38.015000000000001</v>
      </c>
      <c r="E51" s="407">
        <v>-4.2784783188096212E-2</v>
      </c>
      <c r="F51" s="407">
        <v>-8.3215554433254818E-2</v>
      </c>
      <c r="G51" s="407">
        <v>-7.5591248023907792E-2</v>
      </c>
      <c r="H51" s="406">
        <v>1E-4</v>
      </c>
      <c r="I51" s="407">
        <v>-4.2884783188096215E-2</v>
      </c>
      <c r="J51" s="407">
        <v>-8.3315554433254821E-2</v>
      </c>
      <c r="K51" s="407">
        <v>-7.5691248023907795E-2</v>
      </c>
      <c r="M51" s="456">
        <v>33.424999999999997</v>
      </c>
      <c r="N51" s="456">
        <f t="shared" si="8"/>
        <v>-0.1078107648966187</v>
      </c>
      <c r="O51" s="456">
        <f t="shared" si="9"/>
        <v>-0.1079107648966187</v>
      </c>
      <c r="Q51" s="472">
        <v>31.74</v>
      </c>
      <c r="R51" s="472">
        <f t="shared" si="2"/>
        <v>-1.6560290965607578E-2</v>
      </c>
      <c r="S51" s="473">
        <f t="shared" si="10"/>
        <v>-1.6660290965607578E-2</v>
      </c>
      <c r="U51" s="473">
        <v>81.680000000000007</v>
      </c>
      <c r="V51" s="473">
        <f t="shared" si="3"/>
        <v>-8.169282767239017E-3</v>
      </c>
      <c r="W51" s="473">
        <f t="shared" si="11"/>
        <v>-8.2692827672390164E-3</v>
      </c>
      <c r="Y51" s="473">
        <v>81.680000000000007</v>
      </c>
      <c r="Z51" s="473">
        <f t="shared" si="12"/>
        <v>-8.169282767239017E-3</v>
      </c>
      <c r="AA51" s="473">
        <f t="shared" si="13"/>
        <v>-8.2692827672390164E-3</v>
      </c>
      <c r="AC51" s="473">
        <v>9.56</v>
      </c>
      <c r="AD51" s="473">
        <f t="shared" si="14"/>
        <v>-9.3787530100167688E-2</v>
      </c>
      <c r="AE51" s="473">
        <f t="shared" si="15"/>
        <v>-9.388753010016769E-2</v>
      </c>
      <c r="AG51" s="473">
        <v>3.46</v>
      </c>
      <c r="AH51" s="473">
        <f t="shared" si="4"/>
        <v>3.2308243232657831E-2</v>
      </c>
      <c r="AI51" s="473">
        <f t="shared" si="5"/>
        <v>3.2208243232657828E-2</v>
      </c>
      <c r="AK51" s="473">
        <v>7.875</v>
      </c>
      <c r="AL51" s="473">
        <f t="shared" si="16"/>
        <v>-7.6372978784573969E-2</v>
      </c>
      <c r="AM51" s="473">
        <f t="shared" si="17"/>
        <v>-7.6472978784573972E-2</v>
      </c>
      <c r="AP51" s="473">
        <v>1104.49</v>
      </c>
      <c r="AQ51" s="473">
        <f t="shared" si="18"/>
        <v>2.8114744036660498E-2</v>
      </c>
      <c r="AR51" s="473">
        <f t="shared" si="19"/>
        <v>2.8014744036660499E-2</v>
      </c>
      <c r="AT51" s="473">
        <v>947.39</v>
      </c>
      <c r="AU51" s="473">
        <f t="shared" si="6"/>
        <v>-6.6488067772785845E-3</v>
      </c>
      <c r="AV51" s="473">
        <f t="shared" si="20"/>
        <v>-6.7488067772785848E-3</v>
      </c>
      <c r="AX51" s="473">
        <v>20121.990000000002</v>
      </c>
      <c r="AY51" s="473">
        <f t="shared" si="7"/>
        <v>-8.3416893097039202E-2</v>
      </c>
      <c r="AZ51" s="473">
        <f t="shared" si="21"/>
        <v>-8.3516893097039205E-2</v>
      </c>
    </row>
    <row r="52" spans="1:52">
      <c r="A52" s="403">
        <v>40235</v>
      </c>
      <c r="B52" s="405">
        <v>7739.55</v>
      </c>
      <c r="C52" s="402">
        <v>55.07</v>
      </c>
      <c r="D52" s="402">
        <v>40.375</v>
      </c>
      <c r="E52" s="407">
        <v>3.7005313920108932E-2</v>
      </c>
      <c r="F52" s="407">
        <v>8.4851174970545368E-2</v>
      </c>
      <c r="G52" s="407">
        <v>6.0229962862420612E-2</v>
      </c>
      <c r="H52" s="406">
        <v>1E-4</v>
      </c>
      <c r="I52" s="407">
        <v>3.6905313920108929E-2</v>
      </c>
      <c r="J52" s="407">
        <v>8.4751174970545365E-2</v>
      </c>
      <c r="K52" s="407">
        <v>6.0129962862420609E-2</v>
      </c>
      <c r="M52" s="456">
        <v>30.66</v>
      </c>
      <c r="N52" s="456">
        <f t="shared" si="8"/>
        <v>-8.6345249544338698E-2</v>
      </c>
      <c r="O52" s="456">
        <f t="shared" si="9"/>
        <v>-8.6445249544338701E-2</v>
      </c>
      <c r="Q52" s="472">
        <v>38.909999999999997</v>
      </c>
      <c r="R52" s="472">
        <f t="shared" si="2"/>
        <v>0.20367357189819923</v>
      </c>
      <c r="S52" s="473">
        <f t="shared" si="10"/>
        <v>0.20357357189819925</v>
      </c>
      <c r="U52" s="473">
        <v>89.84</v>
      </c>
      <c r="V52" s="473">
        <f t="shared" si="3"/>
        <v>9.5221136573777607E-2</v>
      </c>
      <c r="W52" s="473">
        <f t="shared" si="11"/>
        <v>9.5121136573777604E-2</v>
      </c>
      <c r="Y52" s="473">
        <v>89.84</v>
      </c>
      <c r="Z52" s="473">
        <f t="shared" si="12"/>
        <v>9.5221136573777607E-2</v>
      </c>
      <c r="AA52" s="473">
        <f t="shared" si="13"/>
        <v>9.5121136573777604E-2</v>
      </c>
      <c r="AC52" s="473">
        <v>10.57</v>
      </c>
      <c r="AD52" s="473">
        <f t="shared" si="14"/>
        <v>0.10043207281883633</v>
      </c>
      <c r="AE52" s="473">
        <f t="shared" si="15"/>
        <v>0.10033207281883633</v>
      </c>
      <c r="AG52" s="473">
        <v>4.3</v>
      </c>
      <c r="AH52" s="473">
        <f t="shared" si="4"/>
        <v>0.21734643362988385</v>
      </c>
      <c r="AI52" s="473">
        <f t="shared" si="5"/>
        <v>0.21724643362988386</v>
      </c>
      <c r="AK52" s="473">
        <v>8</v>
      </c>
      <c r="AL52" s="473">
        <f t="shared" si="16"/>
        <v>1.5748356968139112E-2</v>
      </c>
      <c r="AM52" s="473">
        <f t="shared" si="17"/>
        <v>1.5648356968139113E-2</v>
      </c>
      <c r="AP52" s="473">
        <v>1169.43</v>
      </c>
      <c r="AQ52" s="473">
        <f t="shared" si="18"/>
        <v>5.7132760645483123E-2</v>
      </c>
      <c r="AR52" s="473">
        <f t="shared" si="19"/>
        <v>5.703276064548312E-2</v>
      </c>
      <c r="AT52" s="473">
        <v>1019.68</v>
      </c>
      <c r="AU52" s="473">
        <f t="shared" si="6"/>
        <v>7.3533296335754506E-2</v>
      </c>
      <c r="AV52" s="473">
        <f t="shared" si="20"/>
        <v>7.3433296335754503E-2</v>
      </c>
      <c r="AX52" s="473">
        <v>20608.7</v>
      </c>
      <c r="AY52" s="473">
        <f t="shared" si="7"/>
        <v>2.3900069835125482E-2</v>
      </c>
      <c r="AZ52" s="473">
        <f t="shared" si="21"/>
        <v>2.3800069835125483E-2</v>
      </c>
    </row>
    <row r="53" spans="1:52">
      <c r="A53" s="403">
        <v>40268</v>
      </c>
      <c r="B53" s="405">
        <v>8255.33</v>
      </c>
      <c r="C53" s="402">
        <v>64.08</v>
      </c>
      <c r="D53" s="402">
        <v>44</v>
      </c>
      <c r="E53" s="407">
        <v>6.4515505968756784E-2</v>
      </c>
      <c r="F53" s="407">
        <v>0.15152719948571361</v>
      </c>
      <c r="G53" s="407">
        <v>8.5978852375440479E-2</v>
      </c>
      <c r="H53" s="406">
        <v>1E-4</v>
      </c>
      <c r="I53" s="407">
        <v>6.4415505968756781E-2</v>
      </c>
      <c r="J53" s="407">
        <v>0.15142719948571362</v>
      </c>
      <c r="K53" s="407">
        <v>8.5878852375440476E-2</v>
      </c>
      <c r="M53" s="456">
        <v>34.854999999999997</v>
      </c>
      <c r="N53" s="456">
        <f t="shared" si="8"/>
        <v>0.12823772549469381</v>
      </c>
      <c r="O53" s="456">
        <f t="shared" si="9"/>
        <v>0.12813772549469382</v>
      </c>
      <c r="Q53" s="472">
        <v>41.76</v>
      </c>
      <c r="R53" s="472">
        <f t="shared" si="2"/>
        <v>7.0687656577921018E-2</v>
      </c>
      <c r="S53" s="473">
        <f t="shared" si="10"/>
        <v>7.0587656577921015E-2</v>
      </c>
      <c r="U53" s="473">
        <v>101.89</v>
      </c>
      <c r="V53" s="473">
        <f t="shared" si="3"/>
        <v>0.1258634895560061</v>
      </c>
      <c r="W53" s="473">
        <f t="shared" si="11"/>
        <v>0.12576348955600611</v>
      </c>
      <c r="Y53" s="473">
        <v>101.89</v>
      </c>
      <c r="Z53" s="473">
        <f t="shared" si="12"/>
        <v>0.1258634895560061</v>
      </c>
      <c r="AA53" s="473">
        <f t="shared" si="13"/>
        <v>0.12576348955600611</v>
      </c>
      <c r="AC53" s="473">
        <v>11.85</v>
      </c>
      <c r="AD53" s="473">
        <f t="shared" si="14"/>
        <v>0.11430806769899382</v>
      </c>
      <c r="AE53" s="473">
        <f t="shared" si="15"/>
        <v>0.11420806769899382</v>
      </c>
      <c r="AG53" s="473">
        <v>4.3</v>
      </c>
      <c r="AH53" s="473">
        <f t="shared" si="4"/>
        <v>0</v>
      </c>
      <c r="AI53" s="473">
        <f t="shared" si="5"/>
        <v>-1E-4</v>
      </c>
      <c r="AK53" s="473">
        <v>8.5</v>
      </c>
      <c r="AL53" s="473">
        <f t="shared" si="16"/>
        <v>6.062462181643484E-2</v>
      </c>
      <c r="AM53" s="473">
        <f t="shared" si="17"/>
        <v>6.0524621816434837E-2</v>
      </c>
      <c r="AP53" s="473">
        <v>1186.69</v>
      </c>
      <c r="AQ53" s="473">
        <f t="shared" si="18"/>
        <v>1.4651468311863144E-2</v>
      </c>
      <c r="AR53" s="473">
        <f t="shared" si="19"/>
        <v>1.4551468311863144E-2</v>
      </c>
      <c r="AT53" s="473">
        <v>1053.8800000000001</v>
      </c>
      <c r="AU53" s="473">
        <f t="shared" si="6"/>
        <v>3.2989739061283871E-2</v>
      </c>
      <c r="AV53" s="473">
        <f t="shared" si="20"/>
        <v>3.2889739061283868E-2</v>
      </c>
      <c r="AX53" s="473">
        <v>21239.35</v>
      </c>
      <c r="AY53" s="473">
        <f t="shared" si="7"/>
        <v>3.0142276532564329E-2</v>
      </c>
      <c r="AZ53" s="473">
        <f t="shared" si="21"/>
        <v>3.0042276532564329E-2</v>
      </c>
    </row>
    <row r="54" spans="1:52">
      <c r="A54" s="403">
        <v>40298</v>
      </c>
      <c r="B54" s="405">
        <v>7890.85</v>
      </c>
      <c r="C54" s="402">
        <v>67.66</v>
      </c>
      <c r="D54" s="402">
        <v>45.84</v>
      </c>
      <c r="E54" s="407">
        <v>-4.5155191984708146E-2</v>
      </c>
      <c r="F54" s="407">
        <v>5.4362860592458713E-2</v>
      </c>
      <c r="G54" s="407">
        <v>4.0967438488223117E-2</v>
      </c>
      <c r="H54" s="406">
        <v>1E-4</v>
      </c>
      <c r="I54" s="407">
        <v>-4.5255191984708149E-2</v>
      </c>
      <c r="J54" s="407">
        <v>5.426286059245871E-2</v>
      </c>
      <c r="K54" s="407">
        <v>4.0867438488223114E-2</v>
      </c>
      <c r="M54" s="456">
        <v>38.814999999999998</v>
      </c>
      <c r="N54" s="456">
        <f t="shared" si="8"/>
        <v>0.10761017091928166</v>
      </c>
      <c r="O54" s="456">
        <f t="shared" si="9"/>
        <v>0.10751017091928165</v>
      </c>
      <c r="Q54" s="472">
        <v>36.880000000000003</v>
      </c>
      <c r="R54" s="472">
        <f t="shared" si="2"/>
        <v>-0.12426954488599005</v>
      </c>
      <c r="S54" s="473">
        <f t="shared" si="10"/>
        <v>-0.12436954488599006</v>
      </c>
      <c r="U54" s="473">
        <v>113.93</v>
      </c>
      <c r="V54" s="473">
        <f t="shared" si="3"/>
        <v>0.11169042472383045</v>
      </c>
      <c r="W54" s="473">
        <f t="shared" si="11"/>
        <v>0.11159042472383045</v>
      </c>
      <c r="Y54" s="473">
        <v>113.93</v>
      </c>
      <c r="Z54" s="473">
        <f t="shared" si="12"/>
        <v>0.11169042472383045</v>
      </c>
      <c r="AA54" s="473">
        <f t="shared" si="13"/>
        <v>0.11159042472383045</v>
      </c>
      <c r="AC54" s="473">
        <v>10.61</v>
      </c>
      <c r="AD54" s="473">
        <f t="shared" si="14"/>
        <v>-0.11053091495524851</v>
      </c>
      <c r="AE54" s="473">
        <f t="shared" si="15"/>
        <v>-0.11063091495524852</v>
      </c>
      <c r="AG54" s="473">
        <v>4.37</v>
      </c>
      <c r="AH54" s="473">
        <f t="shared" si="4"/>
        <v>1.6147986407982158E-2</v>
      </c>
      <c r="AI54" s="473">
        <f t="shared" si="5"/>
        <v>1.6047986407982159E-2</v>
      </c>
      <c r="AK54" s="473">
        <v>8.8524999999999991</v>
      </c>
      <c r="AL54" s="473">
        <f t="shared" si="16"/>
        <v>4.063374150765079E-2</v>
      </c>
      <c r="AM54" s="473">
        <f t="shared" si="17"/>
        <v>4.0533741507650788E-2</v>
      </c>
      <c r="AP54" s="473">
        <v>1089.4100000000001</v>
      </c>
      <c r="AQ54" s="473">
        <f t="shared" si="18"/>
        <v>-8.5531653633770133E-2</v>
      </c>
      <c r="AR54" s="473">
        <f t="shared" si="19"/>
        <v>-8.5631653633770136E-2</v>
      </c>
      <c r="AT54" s="473">
        <v>980.62</v>
      </c>
      <c r="AU54" s="473">
        <f t="shared" si="6"/>
        <v>-7.204884594200725E-2</v>
      </c>
      <c r="AV54" s="473">
        <f t="shared" si="20"/>
        <v>-7.2148845942007253E-2</v>
      </c>
      <c r="AX54" s="473">
        <v>21108.59</v>
      </c>
      <c r="AY54" s="473">
        <f t="shared" si="7"/>
        <v>-6.1755266285593953E-3</v>
      </c>
      <c r="AZ54" s="473">
        <f t="shared" si="21"/>
        <v>-6.2755266285593955E-3</v>
      </c>
    </row>
    <row r="55" spans="1:52">
      <c r="A55" s="403">
        <v>40329</v>
      </c>
      <c r="B55" s="405">
        <v>8129.99</v>
      </c>
      <c r="C55" s="402">
        <v>71.010000000000005</v>
      </c>
      <c r="D55" s="402">
        <v>44</v>
      </c>
      <c r="E55" s="407">
        <v>2.9855833186030169E-2</v>
      </c>
      <c r="F55" s="407">
        <v>4.8325548841440039E-2</v>
      </c>
      <c r="G55" s="407">
        <v>-4.0967438488223026E-2</v>
      </c>
      <c r="H55" s="406">
        <v>1E-4</v>
      </c>
      <c r="I55" s="407">
        <v>2.9755833186030169E-2</v>
      </c>
      <c r="J55" s="407">
        <v>4.8225548841440036E-2</v>
      </c>
      <c r="K55" s="407">
        <v>-4.1067438488223029E-2</v>
      </c>
      <c r="M55" s="456">
        <v>41</v>
      </c>
      <c r="N55" s="456">
        <f t="shared" si="8"/>
        <v>5.4765296846664112E-2</v>
      </c>
      <c r="O55" s="456">
        <f t="shared" si="9"/>
        <v>5.4665296846664109E-2</v>
      </c>
      <c r="Q55" s="472">
        <v>35.869999999999997</v>
      </c>
      <c r="R55" s="472">
        <f t="shared" si="2"/>
        <v>-2.7768107144202057E-2</v>
      </c>
      <c r="S55" s="473">
        <f t="shared" si="10"/>
        <v>-2.7868107144202056E-2</v>
      </c>
      <c r="U55" s="473">
        <v>103.67</v>
      </c>
      <c r="V55" s="473">
        <f t="shared" si="3"/>
        <v>-9.437144737500365E-2</v>
      </c>
      <c r="W55" s="473">
        <f t="shared" si="11"/>
        <v>-9.4471447375003653E-2</v>
      </c>
      <c r="Y55" s="473">
        <v>103.67</v>
      </c>
      <c r="Z55" s="473">
        <f t="shared" si="12"/>
        <v>-9.437144737500365E-2</v>
      </c>
      <c r="AA55" s="473">
        <f t="shared" si="13"/>
        <v>-9.4471447375003653E-2</v>
      </c>
      <c r="AC55" s="473">
        <v>8.9700000000000006</v>
      </c>
      <c r="AD55" s="473">
        <f t="shared" si="14"/>
        <v>-0.16791127655518684</v>
      </c>
      <c r="AE55" s="473">
        <f t="shared" si="15"/>
        <v>-0.16801127655518683</v>
      </c>
      <c r="AG55" s="473">
        <v>4.08</v>
      </c>
      <c r="AH55" s="473">
        <f t="shared" si="4"/>
        <v>-6.8666020691428464E-2</v>
      </c>
      <c r="AI55" s="473">
        <f t="shared" si="5"/>
        <v>-6.8766020691428467E-2</v>
      </c>
      <c r="AK55" s="473">
        <v>8.77</v>
      </c>
      <c r="AL55" s="473">
        <f t="shared" si="16"/>
        <v>-9.3630986198300677E-3</v>
      </c>
      <c r="AM55" s="473">
        <f t="shared" si="17"/>
        <v>-9.4630986198300671E-3</v>
      </c>
      <c r="AP55" s="473">
        <v>1030.71</v>
      </c>
      <c r="AQ55" s="473">
        <f t="shared" si="18"/>
        <v>-5.5388380132376618E-2</v>
      </c>
      <c r="AR55" s="473">
        <f t="shared" si="19"/>
        <v>-5.548838013237662E-2</v>
      </c>
      <c r="AT55" s="473">
        <v>1005.93</v>
      </c>
      <c r="AU55" s="473">
        <f t="shared" si="6"/>
        <v>2.5482741048479012E-2</v>
      </c>
      <c r="AV55" s="473">
        <f t="shared" si="20"/>
        <v>2.5382741048479013E-2</v>
      </c>
      <c r="AX55" s="473">
        <v>19765.189999999999</v>
      </c>
      <c r="AY55" s="473">
        <f t="shared" si="7"/>
        <v>-6.5757756985740642E-2</v>
      </c>
      <c r="AZ55" s="473">
        <f t="shared" si="21"/>
        <v>-6.5857756985740645E-2</v>
      </c>
    </row>
    <row r="56" spans="1:52">
      <c r="A56" s="403">
        <v>40359</v>
      </c>
      <c r="B56" s="405">
        <v>7829.9</v>
      </c>
      <c r="C56" s="402">
        <v>67.41</v>
      </c>
      <c r="D56" s="402">
        <v>42</v>
      </c>
      <c r="E56" s="407">
        <v>-3.7609955017587599E-2</v>
      </c>
      <c r="F56" s="407">
        <v>-5.2027337328654909E-2</v>
      </c>
      <c r="G56" s="407">
        <v>-4.6520015634892817E-2</v>
      </c>
      <c r="H56" s="406">
        <v>1E-4</v>
      </c>
      <c r="I56" s="407">
        <v>-3.7709955017587601E-2</v>
      </c>
      <c r="J56" s="407">
        <v>-5.2127337328654912E-2</v>
      </c>
      <c r="K56" s="407">
        <v>-4.662001563489282E-2</v>
      </c>
      <c r="M56" s="456">
        <v>41.92</v>
      </c>
      <c r="N56" s="456">
        <f t="shared" si="8"/>
        <v>2.219097330847894E-2</v>
      </c>
      <c r="O56" s="456">
        <f t="shared" si="9"/>
        <v>2.209097330847894E-2</v>
      </c>
      <c r="Q56" s="472">
        <v>41.22</v>
      </c>
      <c r="R56" s="472">
        <f t="shared" si="2"/>
        <v>0.13902228391812183</v>
      </c>
      <c r="S56" s="473">
        <f t="shared" si="10"/>
        <v>0.13892228391812184</v>
      </c>
      <c r="U56" s="473">
        <v>107.71</v>
      </c>
      <c r="V56" s="473">
        <f t="shared" si="3"/>
        <v>3.8229653027658073E-2</v>
      </c>
      <c r="W56" s="473">
        <f t="shared" si="11"/>
        <v>3.812965302765807E-2</v>
      </c>
      <c r="Y56" s="473">
        <v>107.71</v>
      </c>
      <c r="Z56" s="473">
        <f t="shared" si="12"/>
        <v>3.8229653027658073E-2</v>
      </c>
      <c r="AA56" s="473">
        <f t="shared" si="13"/>
        <v>3.812965302765807E-2</v>
      </c>
      <c r="AC56" s="473">
        <v>8.6999999999999993</v>
      </c>
      <c r="AD56" s="473">
        <f t="shared" si="14"/>
        <v>-3.0562650410166925E-2</v>
      </c>
      <c r="AE56" s="473">
        <f t="shared" si="15"/>
        <v>-3.0662650410166924E-2</v>
      </c>
      <c r="AG56" s="473">
        <v>4.6900000000000004</v>
      </c>
      <c r="AH56" s="473">
        <f t="shared" si="4"/>
        <v>0.13933559404211779</v>
      </c>
      <c r="AI56" s="473">
        <f t="shared" si="5"/>
        <v>0.1392355940421178</v>
      </c>
      <c r="AK56" s="473">
        <v>8.65</v>
      </c>
      <c r="AL56" s="473">
        <f t="shared" si="16"/>
        <v>-1.3777485440303621E-2</v>
      </c>
      <c r="AM56" s="473">
        <f t="shared" si="17"/>
        <v>-1.387748544030362E-2</v>
      </c>
      <c r="AP56" s="473">
        <v>1101.5999999999999</v>
      </c>
      <c r="AQ56" s="473">
        <f t="shared" si="18"/>
        <v>6.6515783274589638E-2</v>
      </c>
      <c r="AR56" s="473">
        <f t="shared" si="19"/>
        <v>6.6415783274589635E-2</v>
      </c>
      <c r="AT56" s="473">
        <v>1047.26</v>
      </c>
      <c r="AU56" s="473">
        <f t="shared" si="6"/>
        <v>4.0264742866148735E-2</v>
      </c>
      <c r="AV56" s="473">
        <f t="shared" si="20"/>
        <v>4.0164742866148732E-2</v>
      </c>
      <c r="AX56" s="473">
        <v>20128.990000000002</v>
      </c>
      <c r="AY56" s="473">
        <f t="shared" si="7"/>
        <v>1.8238754868470628E-2</v>
      </c>
      <c r="AZ56" s="473">
        <f t="shared" si="21"/>
        <v>1.8138754868470629E-2</v>
      </c>
    </row>
    <row r="57" spans="1:52">
      <c r="A57" s="403">
        <v>40389</v>
      </c>
      <c r="B57" s="405">
        <v>8568.19</v>
      </c>
      <c r="C57" s="402">
        <v>70.73</v>
      </c>
      <c r="D57" s="402">
        <v>43.35</v>
      </c>
      <c r="E57" s="407">
        <v>9.0106769907380493E-2</v>
      </c>
      <c r="F57" s="407">
        <v>4.807643618255119E-2</v>
      </c>
      <c r="G57" s="407">
        <v>3.163708494318266E-2</v>
      </c>
      <c r="H57" s="406">
        <v>1E-4</v>
      </c>
      <c r="I57" s="407">
        <v>9.0006769907380491E-2</v>
      </c>
      <c r="J57" s="407">
        <v>4.7976436182551187E-2</v>
      </c>
      <c r="K57" s="407">
        <v>3.1537084943182657E-2</v>
      </c>
      <c r="M57" s="456">
        <v>41.375</v>
      </c>
      <c r="N57" s="456">
        <f t="shared" si="8"/>
        <v>-1.3086206315559828E-2</v>
      </c>
      <c r="O57" s="456">
        <f t="shared" si="9"/>
        <v>-1.3186206315559827E-2</v>
      </c>
      <c r="Q57" s="472">
        <v>36.94</v>
      </c>
      <c r="R57" s="472">
        <f t="shared" si="2"/>
        <v>-0.10962860069121914</v>
      </c>
      <c r="S57" s="473">
        <f t="shared" si="10"/>
        <v>-0.10972860069121915</v>
      </c>
      <c r="U57" s="473">
        <v>119.47</v>
      </c>
      <c r="V57" s="473">
        <f t="shared" si="3"/>
        <v>0.10362286346645365</v>
      </c>
      <c r="W57" s="473">
        <f t="shared" si="11"/>
        <v>0.10352286346645365</v>
      </c>
      <c r="Y57" s="473">
        <v>119.47</v>
      </c>
      <c r="Z57" s="473">
        <f t="shared" si="12"/>
        <v>0.10362286346645365</v>
      </c>
      <c r="AA57" s="473">
        <f t="shared" si="13"/>
        <v>0.10352286346645365</v>
      </c>
      <c r="AC57" s="473">
        <v>10.27</v>
      </c>
      <c r="AD57" s="473">
        <f t="shared" si="14"/>
        <v>0.16590399827992891</v>
      </c>
      <c r="AE57" s="473">
        <f t="shared" si="15"/>
        <v>0.16580399827992892</v>
      </c>
      <c r="AG57" s="473">
        <v>4.68</v>
      </c>
      <c r="AH57" s="473">
        <f t="shared" si="4"/>
        <v>-2.1344725286327922E-3</v>
      </c>
      <c r="AI57" s="473">
        <f t="shared" si="5"/>
        <v>-2.234472528632792E-3</v>
      </c>
      <c r="AK57" s="473">
        <v>10.6</v>
      </c>
      <c r="AL57" s="473">
        <f t="shared" si="16"/>
        <v>0.20329468017423336</v>
      </c>
      <c r="AM57" s="473">
        <f t="shared" si="17"/>
        <v>0.20319468017423337</v>
      </c>
      <c r="AP57" s="473">
        <v>1049.33</v>
      </c>
      <c r="AQ57" s="473">
        <f t="shared" si="18"/>
        <v>-4.8611803170382606E-2</v>
      </c>
      <c r="AR57" s="473">
        <f t="shared" si="19"/>
        <v>-4.8711803170382609E-2</v>
      </c>
      <c r="AT57" s="473">
        <v>1011.7</v>
      </c>
      <c r="AU57" s="473">
        <f t="shared" si="6"/>
        <v>-3.4545145388043541E-2</v>
      </c>
      <c r="AV57" s="473">
        <f t="shared" si="20"/>
        <v>-3.4645145388043544E-2</v>
      </c>
      <c r="AX57" s="473">
        <v>21029.81</v>
      </c>
      <c r="AY57" s="473">
        <f t="shared" si="7"/>
        <v>4.3779890438376073E-2</v>
      </c>
      <c r="AZ57" s="473">
        <f t="shared" si="21"/>
        <v>4.3679890438376071E-2</v>
      </c>
    </row>
    <row r="58" spans="1:52">
      <c r="A58" s="403">
        <v>40421</v>
      </c>
      <c r="B58" s="405">
        <v>8463.57</v>
      </c>
      <c r="C58" s="402">
        <v>71.650000000000006</v>
      </c>
      <c r="D58" s="402">
        <v>42.405000000000001</v>
      </c>
      <c r="E58" s="407">
        <v>-1.2285438013695058E-2</v>
      </c>
      <c r="F58" s="407">
        <v>1.2923343226282247E-2</v>
      </c>
      <c r="G58" s="407">
        <v>-2.2040423412887502E-2</v>
      </c>
      <c r="H58" s="406">
        <v>1E-4</v>
      </c>
      <c r="I58" s="407">
        <v>-1.2385438013695058E-2</v>
      </c>
      <c r="J58" s="407">
        <v>1.2823343226282247E-2</v>
      </c>
      <c r="K58" s="407">
        <v>-2.2140423412887501E-2</v>
      </c>
      <c r="M58" s="456">
        <v>38.22</v>
      </c>
      <c r="N58" s="456">
        <f t="shared" si="8"/>
        <v>-7.9317894885100063E-2</v>
      </c>
      <c r="O58" s="456">
        <f t="shared" si="9"/>
        <v>-7.9417894885100065E-2</v>
      </c>
      <c r="Q58" s="472">
        <v>43.41</v>
      </c>
      <c r="R58" s="472">
        <f t="shared" si="2"/>
        <v>0.16139485454040819</v>
      </c>
      <c r="S58" s="473">
        <f t="shared" si="10"/>
        <v>0.16129485454040821</v>
      </c>
      <c r="U58" s="473">
        <v>122.43</v>
      </c>
      <c r="V58" s="473">
        <f t="shared" si="3"/>
        <v>2.4474144256691699E-2</v>
      </c>
      <c r="W58" s="473">
        <f t="shared" si="11"/>
        <v>2.43741442566917E-2</v>
      </c>
      <c r="Y58" s="473">
        <v>122.43</v>
      </c>
      <c r="Z58" s="473">
        <f t="shared" si="12"/>
        <v>2.4474144256691699E-2</v>
      </c>
      <c r="AA58" s="473">
        <f t="shared" si="13"/>
        <v>2.43741442566917E-2</v>
      </c>
      <c r="AC58" s="473">
        <v>11.45</v>
      </c>
      <c r="AD58" s="473">
        <f t="shared" si="14"/>
        <v>0.10876270605978174</v>
      </c>
      <c r="AE58" s="473">
        <f t="shared" si="15"/>
        <v>0.10866270605978173</v>
      </c>
      <c r="AG58" s="473">
        <v>5.35</v>
      </c>
      <c r="AH58" s="473">
        <f t="shared" si="4"/>
        <v>0.13379845097835977</v>
      </c>
      <c r="AI58" s="473">
        <f t="shared" si="5"/>
        <v>0.13369845097835978</v>
      </c>
      <c r="AK58" s="473">
        <v>10.035</v>
      </c>
      <c r="AL58" s="473">
        <f t="shared" si="16"/>
        <v>-5.4775018869719895E-2</v>
      </c>
      <c r="AM58" s="473">
        <f t="shared" si="17"/>
        <v>-5.4875018869719898E-2</v>
      </c>
      <c r="AP58" s="473">
        <v>1141.2</v>
      </c>
      <c r="AQ58" s="473">
        <f t="shared" si="18"/>
        <v>8.3928475095282604E-2</v>
      </c>
      <c r="AR58" s="473">
        <f t="shared" si="19"/>
        <v>8.3828475095282601E-2</v>
      </c>
      <c r="AT58" s="473">
        <v>1087.71</v>
      </c>
      <c r="AU58" s="473">
        <f t="shared" si="6"/>
        <v>7.2442484557199358E-2</v>
      </c>
      <c r="AV58" s="473">
        <f t="shared" si="20"/>
        <v>7.2342484557199355E-2</v>
      </c>
      <c r="AX58" s="473">
        <v>20536.490000000002</v>
      </c>
      <c r="AY58" s="473">
        <f t="shared" si="7"/>
        <v>-2.3737651139705728E-2</v>
      </c>
      <c r="AZ58" s="473">
        <f t="shared" si="21"/>
        <v>-2.3837651139705728E-2</v>
      </c>
    </row>
    <row r="59" spans="1:52">
      <c r="A59" s="403">
        <v>40451</v>
      </c>
      <c r="B59" s="405">
        <v>8706.69</v>
      </c>
      <c r="C59" s="402">
        <v>79.040000000000006</v>
      </c>
      <c r="D59" s="402">
        <v>49</v>
      </c>
      <c r="E59" s="407">
        <v>2.8320625252513353E-2</v>
      </c>
      <c r="F59" s="407">
        <v>9.8160899165431442E-2</v>
      </c>
      <c r="G59" s="407">
        <v>0.14455401829696315</v>
      </c>
      <c r="H59" s="406">
        <v>1E-4</v>
      </c>
      <c r="I59" s="407">
        <v>2.8220625252513353E-2</v>
      </c>
      <c r="J59" s="407">
        <v>9.8060899165431439E-2</v>
      </c>
      <c r="K59" s="407">
        <v>0.14445401829696317</v>
      </c>
      <c r="M59" s="456">
        <v>46.46</v>
      </c>
      <c r="N59" s="456">
        <f t="shared" si="8"/>
        <v>0.19523278853013623</v>
      </c>
      <c r="O59" s="456">
        <f t="shared" si="9"/>
        <v>0.19513278853013624</v>
      </c>
      <c r="Q59" s="472">
        <v>46.21</v>
      </c>
      <c r="R59" s="472">
        <f t="shared" si="2"/>
        <v>6.250639557067296E-2</v>
      </c>
      <c r="S59" s="473">
        <f t="shared" si="10"/>
        <v>6.2406395570672957E-2</v>
      </c>
      <c r="U59" s="473">
        <v>133.56</v>
      </c>
      <c r="V59" s="473">
        <f t="shared" si="3"/>
        <v>8.7011376989629699E-2</v>
      </c>
      <c r="W59" s="473">
        <f t="shared" si="11"/>
        <v>8.6911376989629696E-2</v>
      </c>
      <c r="Y59" s="473">
        <v>133.56</v>
      </c>
      <c r="Z59" s="473">
        <f t="shared" si="12"/>
        <v>8.7011376989629699E-2</v>
      </c>
      <c r="AA59" s="473">
        <f t="shared" si="13"/>
        <v>8.6911376989629696E-2</v>
      </c>
      <c r="AC59" s="473">
        <v>15.05</v>
      </c>
      <c r="AD59" s="473">
        <f t="shared" si="14"/>
        <v>0.27338826119463611</v>
      </c>
      <c r="AE59" s="473">
        <f t="shared" si="15"/>
        <v>0.27328826119463612</v>
      </c>
      <c r="AG59" s="473">
        <v>6.15</v>
      </c>
      <c r="AH59" s="473">
        <f t="shared" si="4"/>
        <v>0.13935552091051154</v>
      </c>
      <c r="AI59" s="473">
        <f t="shared" si="5"/>
        <v>0.13925552091051155</v>
      </c>
      <c r="AK59" s="473">
        <v>11.44</v>
      </c>
      <c r="AL59" s="473">
        <f t="shared" si="16"/>
        <v>0.13103700370335039</v>
      </c>
      <c r="AM59" s="473">
        <f t="shared" si="17"/>
        <v>0.1309370037033504</v>
      </c>
      <c r="AP59" s="473">
        <v>1183.26</v>
      </c>
      <c r="AQ59" s="473">
        <f t="shared" si="18"/>
        <v>3.6193000710687595E-2</v>
      </c>
      <c r="AR59" s="473">
        <f t="shared" si="19"/>
        <v>3.6093000710687592E-2</v>
      </c>
      <c r="AT59" s="473">
        <v>1089.32</v>
      </c>
      <c r="AU59" s="473">
        <f t="shared" si="6"/>
        <v>1.4790795657506411E-3</v>
      </c>
      <c r="AV59" s="473">
        <f t="shared" si="20"/>
        <v>1.3790795657506411E-3</v>
      </c>
      <c r="AX59" s="473">
        <v>22358.17</v>
      </c>
      <c r="AY59" s="473">
        <f t="shared" si="7"/>
        <v>8.4988498539809554E-2</v>
      </c>
      <c r="AZ59" s="473">
        <f t="shared" si="21"/>
        <v>8.4888498539809551E-2</v>
      </c>
    </row>
    <row r="60" spans="1:52">
      <c r="A60" s="403">
        <v>40480</v>
      </c>
      <c r="B60" s="405">
        <v>9397.11</v>
      </c>
      <c r="C60" s="402">
        <v>80.03</v>
      </c>
      <c r="D60" s="402">
        <v>48.25</v>
      </c>
      <c r="E60" s="407">
        <v>7.6310499520714531E-2</v>
      </c>
      <c r="F60" s="407">
        <v>1.2447510939342451E-2</v>
      </c>
      <c r="G60" s="407">
        <v>-1.5424470325631639E-2</v>
      </c>
      <c r="H60" s="406">
        <v>1E-4</v>
      </c>
      <c r="I60" s="407">
        <v>7.6210499520714528E-2</v>
      </c>
      <c r="J60" s="407">
        <v>1.2347510939342452E-2</v>
      </c>
      <c r="K60" s="407">
        <v>-1.5524470325631638E-2</v>
      </c>
      <c r="M60" s="456">
        <v>47.405000000000001</v>
      </c>
      <c r="N60" s="456">
        <f t="shared" si="8"/>
        <v>2.0135981027659306E-2</v>
      </c>
      <c r="O60" s="456">
        <f t="shared" si="9"/>
        <v>2.0035981027659307E-2</v>
      </c>
      <c r="Q60" s="472">
        <v>48.67</v>
      </c>
      <c r="R60" s="472">
        <f t="shared" si="2"/>
        <v>5.1866598963187925E-2</v>
      </c>
      <c r="S60" s="473">
        <f t="shared" si="10"/>
        <v>5.1766598963187922E-2</v>
      </c>
      <c r="U60" s="473">
        <v>127.46</v>
      </c>
      <c r="V60" s="473">
        <f t="shared" si="3"/>
        <v>-4.6748225189305784E-2</v>
      </c>
      <c r="W60" s="473">
        <f t="shared" si="11"/>
        <v>-4.6848225189305787E-2</v>
      </c>
      <c r="Y60" s="473">
        <v>127.46</v>
      </c>
      <c r="Z60" s="473">
        <f t="shared" si="12"/>
        <v>-4.6748225189305784E-2</v>
      </c>
      <c r="AA60" s="473">
        <f t="shared" si="13"/>
        <v>-4.6848225189305787E-2</v>
      </c>
      <c r="AC60" s="473">
        <v>15.92</v>
      </c>
      <c r="AD60" s="473">
        <f t="shared" si="14"/>
        <v>5.6198189221352224E-2</v>
      </c>
      <c r="AE60" s="473">
        <f t="shared" si="15"/>
        <v>5.6098189221352221E-2</v>
      </c>
      <c r="AG60" s="473">
        <v>5.5</v>
      </c>
      <c r="AH60" s="473">
        <f t="shared" si="4"/>
        <v>-0.11170398958000129</v>
      </c>
      <c r="AI60" s="473">
        <f t="shared" si="5"/>
        <v>-0.11180398958000129</v>
      </c>
      <c r="AK60" s="473">
        <v>10.9</v>
      </c>
      <c r="AL60" s="473">
        <f t="shared" si="16"/>
        <v>-4.8353196716553692E-2</v>
      </c>
      <c r="AM60" s="473">
        <f t="shared" si="17"/>
        <v>-4.8453196716553695E-2</v>
      </c>
      <c r="AP60" s="473">
        <v>1180.55</v>
      </c>
      <c r="AQ60" s="473">
        <f t="shared" si="18"/>
        <v>-2.2929094870601432E-3</v>
      </c>
      <c r="AR60" s="473">
        <f t="shared" si="19"/>
        <v>-2.392909487060143E-3</v>
      </c>
      <c r="AT60" s="473">
        <v>1107.05</v>
      </c>
      <c r="AU60" s="473">
        <f t="shared" si="6"/>
        <v>1.6145171472176274E-2</v>
      </c>
      <c r="AV60" s="473">
        <f t="shared" si="20"/>
        <v>1.6045171472176274E-2</v>
      </c>
      <c r="AX60" s="473">
        <v>23096.32</v>
      </c>
      <c r="AY60" s="473">
        <f t="shared" si="7"/>
        <v>3.248149511609201E-2</v>
      </c>
      <c r="AZ60" s="473">
        <f t="shared" si="21"/>
        <v>3.2381495116092007E-2</v>
      </c>
    </row>
    <row r="61" spans="1:52">
      <c r="A61" s="403">
        <v>40512</v>
      </c>
      <c r="B61" s="405">
        <v>9759.2999999999993</v>
      </c>
      <c r="C61" s="402">
        <v>95.37</v>
      </c>
      <c r="D61" s="402">
        <v>59.35</v>
      </c>
      <c r="E61" s="407">
        <v>3.7818481345441024E-2</v>
      </c>
      <c r="F61" s="407">
        <v>0.17536249921186628</v>
      </c>
      <c r="G61" s="407">
        <v>0.20705629327068212</v>
      </c>
      <c r="H61" s="406">
        <v>1E-4</v>
      </c>
      <c r="I61" s="407">
        <v>3.7718481345441021E-2</v>
      </c>
      <c r="J61" s="407">
        <v>0.17526249921186629</v>
      </c>
      <c r="K61" s="407">
        <v>0.20695629327068213</v>
      </c>
      <c r="M61" s="456">
        <v>49.87</v>
      </c>
      <c r="N61" s="456">
        <f t="shared" si="8"/>
        <v>5.0691911188108674E-2</v>
      </c>
      <c r="O61" s="456">
        <f t="shared" si="9"/>
        <v>5.0591911188108671E-2</v>
      </c>
      <c r="Q61" s="472">
        <v>52.09</v>
      </c>
      <c r="R61" s="472">
        <f t="shared" si="2"/>
        <v>6.7910167911737318E-2</v>
      </c>
      <c r="S61" s="473">
        <f t="shared" si="10"/>
        <v>6.7810167911737315E-2</v>
      </c>
      <c r="U61" s="473">
        <v>128.97999999999999</v>
      </c>
      <c r="V61" s="473">
        <f t="shared" si="3"/>
        <v>1.1854763696083176E-2</v>
      </c>
      <c r="W61" s="473">
        <f t="shared" si="11"/>
        <v>1.1754763696083177E-2</v>
      </c>
      <c r="Y61" s="473">
        <v>128.97999999999999</v>
      </c>
      <c r="Z61" s="473">
        <f t="shared" si="12"/>
        <v>1.1854763696083176E-2</v>
      </c>
      <c r="AA61" s="473">
        <f t="shared" si="13"/>
        <v>1.1754763696083177E-2</v>
      </c>
      <c r="AC61" s="473">
        <v>14.01</v>
      </c>
      <c r="AD61" s="473">
        <f t="shared" si="14"/>
        <v>-0.1278048200673213</v>
      </c>
      <c r="AE61" s="473">
        <f t="shared" si="15"/>
        <v>-0.12790482006732129</v>
      </c>
      <c r="AG61" s="473">
        <v>6.2</v>
      </c>
      <c r="AH61" s="473">
        <f t="shared" si="4"/>
        <v>0.11980119981262058</v>
      </c>
      <c r="AI61" s="473">
        <f t="shared" si="5"/>
        <v>0.11970119981262058</v>
      </c>
      <c r="AK61" s="473">
        <v>10.44</v>
      </c>
      <c r="AL61" s="473">
        <f t="shared" si="16"/>
        <v>-4.3118206780605413E-2</v>
      </c>
      <c r="AM61" s="473">
        <f t="shared" si="17"/>
        <v>-4.3218206780605416E-2</v>
      </c>
      <c r="AP61" s="473">
        <v>1257.6400000000001</v>
      </c>
      <c r="AQ61" s="473">
        <f t="shared" si="18"/>
        <v>6.3256517221926059E-2</v>
      </c>
      <c r="AR61" s="473">
        <f t="shared" si="19"/>
        <v>6.3156517221926056E-2</v>
      </c>
      <c r="AT61" s="473">
        <v>1155.57</v>
      </c>
      <c r="AU61" s="473">
        <f t="shared" si="6"/>
        <v>4.289490890814919E-2</v>
      </c>
      <c r="AV61" s="473">
        <f t="shared" si="20"/>
        <v>4.2794908908149187E-2</v>
      </c>
      <c r="AX61" s="473">
        <v>23007.99</v>
      </c>
      <c r="AY61" s="473">
        <f t="shared" si="7"/>
        <v>-3.8317505705660147E-3</v>
      </c>
      <c r="AZ61" s="473">
        <f t="shared" si="21"/>
        <v>-3.9317505705660149E-3</v>
      </c>
    </row>
    <row r="62" spans="1:52">
      <c r="A62" s="403">
        <v>40542</v>
      </c>
      <c r="B62" s="405">
        <v>10178.1</v>
      </c>
      <c r="C62" s="402">
        <v>92.63</v>
      </c>
      <c r="D62" s="402">
        <v>58.21</v>
      </c>
      <c r="E62" s="407">
        <v>4.2017676689934183E-2</v>
      </c>
      <c r="F62" s="407">
        <v>-2.9151000324885001E-2</v>
      </c>
      <c r="G62" s="407">
        <v>-1.9394959772032906E-2</v>
      </c>
      <c r="H62" s="406">
        <v>1E-4</v>
      </c>
      <c r="I62" s="407">
        <v>4.191767668993418E-2</v>
      </c>
      <c r="J62" s="407">
        <v>-2.9251000324885E-2</v>
      </c>
      <c r="K62" s="407">
        <v>-1.9494959772032906E-2</v>
      </c>
      <c r="M62" s="456">
        <v>50.73</v>
      </c>
      <c r="N62" s="456">
        <f t="shared" si="8"/>
        <v>1.709783202056743E-2</v>
      </c>
      <c r="O62" s="456">
        <f t="shared" si="9"/>
        <v>1.6997832020567431E-2</v>
      </c>
      <c r="Q62" s="472">
        <v>51.31</v>
      </c>
      <c r="R62" s="472">
        <f t="shared" si="2"/>
        <v>-1.508732680322677E-2</v>
      </c>
      <c r="S62" s="473">
        <f t="shared" si="10"/>
        <v>-1.5187326803226769E-2</v>
      </c>
      <c r="U62" s="473">
        <v>138.86000000000001</v>
      </c>
      <c r="V62" s="473">
        <f t="shared" si="3"/>
        <v>7.3808877742896267E-2</v>
      </c>
      <c r="W62" s="473">
        <f t="shared" si="11"/>
        <v>7.3708877742896264E-2</v>
      </c>
      <c r="Y62" s="473">
        <v>138.86000000000001</v>
      </c>
      <c r="Z62" s="473">
        <f t="shared" si="12"/>
        <v>7.3808877742896267E-2</v>
      </c>
      <c r="AA62" s="473">
        <f t="shared" si="13"/>
        <v>7.3708877742896264E-2</v>
      </c>
      <c r="AC62" s="473">
        <v>12.7</v>
      </c>
      <c r="AD62" s="473">
        <f t="shared" si="14"/>
        <v>-9.8169366884370043E-2</v>
      </c>
      <c r="AE62" s="473">
        <f t="shared" si="15"/>
        <v>-9.8269366884370046E-2</v>
      </c>
      <c r="AG62" s="473">
        <v>6.06</v>
      </c>
      <c r="AH62" s="473">
        <f t="shared" si="4"/>
        <v>-2.2839491969822903E-2</v>
      </c>
      <c r="AI62" s="473">
        <f t="shared" si="5"/>
        <v>-2.2939491969822902E-2</v>
      </c>
      <c r="AK62" s="473">
        <v>11.935</v>
      </c>
      <c r="AL62" s="473">
        <f t="shared" si="16"/>
        <v>0.1338306773363008</v>
      </c>
      <c r="AM62" s="473">
        <f t="shared" si="17"/>
        <v>0.13373067733630081</v>
      </c>
      <c r="AP62" s="473">
        <v>1286.1199999999999</v>
      </c>
      <c r="AQ62" s="473">
        <f t="shared" si="18"/>
        <v>2.239298525651701E-2</v>
      </c>
      <c r="AR62" s="473">
        <f t="shared" si="19"/>
        <v>2.229298525651701E-2</v>
      </c>
      <c r="AT62" s="473">
        <v>1147.22</v>
      </c>
      <c r="AU62" s="473">
        <f t="shared" si="6"/>
        <v>-7.2521042699869795E-3</v>
      </c>
      <c r="AV62" s="473">
        <f t="shared" si="20"/>
        <v>-7.3521042699869798E-3</v>
      </c>
      <c r="AX62" s="473">
        <v>23035.45</v>
      </c>
      <c r="AY62" s="473">
        <f t="shared" si="7"/>
        <v>1.192786779428462E-3</v>
      </c>
      <c r="AZ62" s="473">
        <f t="shared" si="21"/>
        <v>1.092786779428462E-3</v>
      </c>
    </row>
    <row r="63" spans="1:52">
      <c r="A63" s="403">
        <v>40574</v>
      </c>
      <c r="B63" s="405">
        <v>10241.5</v>
      </c>
      <c r="C63" s="402">
        <v>82.3</v>
      </c>
      <c r="D63" s="402">
        <v>54.75</v>
      </c>
      <c r="E63" s="407">
        <v>6.2097400272095463E-3</v>
      </c>
      <c r="F63" s="407">
        <v>-0.11824195558291205</v>
      </c>
      <c r="G63" s="407">
        <v>-6.1279792587033914E-2</v>
      </c>
      <c r="H63" s="406">
        <v>1E-4</v>
      </c>
      <c r="I63" s="407">
        <v>6.109740027209546E-3</v>
      </c>
      <c r="J63" s="407">
        <v>-0.11834195558291205</v>
      </c>
      <c r="K63" s="407">
        <v>-6.1379792587033917E-2</v>
      </c>
      <c r="M63" s="456">
        <v>53.42</v>
      </c>
      <c r="N63" s="456">
        <f t="shared" si="8"/>
        <v>5.1667756103216202E-2</v>
      </c>
      <c r="O63" s="456">
        <f t="shared" si="9"/>
        <v>5.1567756103216199E-2</v>
      </c>
      <c r="Q63" s="472">
        <v>45.64</v>
      </c>
      <c r="R63" s="472">
        <f t="shared" si="2"/>
        <v>-0.11710113995999863</v>
      </c>
      <c r="S63" s="473">
        <f t="shared" si="10"/>
        <v>-0.11720113995999863</v>
      </c>
      <c r="U63" s="473">
        <v>129.97</v>
      </c>
      <c r="V63" s="473">
        <f t="shared" si="3"/>
        <v>-6.616257673163041E-2</v>
      </c>
      <c r="W63" s="473">
        <f t="shared" si="11"/>
        <v>-6.6262576731630413E-2</v>
      </c>
      <c r="Y63" s="473">
        <v>129.97</v>
      </c>
      <c r="Z63" s="473">
        <f t="shared" si="12"/>
        <v>-6.616257673163041E-2</v>
      </c>
      <c r="AA63" s="473">
        <f t="shared" si="13"/>
        <v>-6.6262576731630413E-2</v>
      </c>
      <c r="AC63" s="473">
        <v>13.04</v>
      </c>
      <c r="AD63" s="473">
        <f t="shared" si="14"/>
        <v>2.6419563033961344E-2</v>
      </c>
      <c r="AE63" s="473">
        <f t="shared" si="15"/>
        <v>2.6319563033961345E-2</v>
      </c>
      <c r="AG63" s="473">
        <v>5.89</v>
      </c>
      <c r="AH63" s="473">
        <f t="shared" si="4"/>
        <v>-2.8453802417727696E-2</v>
      </c>
      <c r="AI63" s="473">
        <f t="shared" si="5"/>
        <v>-2.8553802417727696E-2</v>
      </c>
      <c r="AK63" s="473">
        <v>12.055</v>
      </c>
      <c r="AL63" s="473">
        <f t="shared" si="16"/>
        <v>1.0004251842340852E-2</v>
      </c>
      <c r="AM63" s="473">
        <f t="shared" si="17"/>
        <v>9.9042518423408527E-3</v>
      </c>
      <c r="AP63" s="473">
        <v>1327.22</v>
      </c>
      <c r="AQ63" s="473">
        <f t="shared" si="18"/>
        <v>3.1456595040144836E-2</v>
      </c>
      <c r="AR63" s="473">
        <f t="shared" si="19"/>
        <v>3.1356595040144833E-2</v>
      </c>
      <c r="AT63" s="473">
        <v>1128.6600000000001</v>
      </c>
      <c r="AU63" s="473">
        <f t="shared" si="6"/>
        <v>-1.6310536112148971E-2</v>
      </c>
      <c r="AV63" s="473">
        <f t="shared" si="20"/>
        <v>-1.6410536112148971E-2</v>
      </c>
      <c r="AX63" s="473">
        <v>23447.34</v>
      </c>
      <c r="AY63" s="473">
        <f t="shared" si="7"/>
        <v>1.7722721935939049E-2</v>
      </c>
      <c r="AZ63" s="473">
        <f t="shared" si="21"/>
        <v>1.7622721935939049E-2</v>
      </c>
    </row>
    <row r="64" spans="1:52">
      <c r="A64" s="403">
        <v>40602</v>
      </c>
      <c r="B64" s="405">
        <v>10182.200000000001</v>
      </c>
      <c r="C64" s="402">
        <v>88.61</v>
      </c>
      <c r="D64" s="402">
        <v>58.9</v>
      </c>
      <c r="E64" s="407">
        <v>-5.8069954649566068E-3</v>
      </c>
      <c r="F64" s="407">
        <v>7.3873610376186935E-2</v>
      </c>
      <c r="G64" s="407">
        <v>7.3063721960930708E-2</v>
      </c>
      <c r="H64" s="406">
        <v>1E-4</v>
      </c>
      <c r="I64" s="407">
        <v>-5.906995464956607E-3</v>
      </c>
      <c r="J64" s="407">
        <v>7.3773610376186932E-2</v>
      </c>
      <c r="K64" s="407">
        <v>7.2963721960930705E-2</v>
      </c>
      <c r="M64" s="456">
        <v>51.05</v>
      </c>
      <c r="N64" s="456">
        <f t="shared" si="8"/>
        <v>-4.5379663071140282E-2</v>
      </c>
      <c r="O64" s="456">
        <f t="shared" si="9"/>
        <v>-4.5479663071140285E-2</v>
      </c>
      <c r="Q64" s="472">
        <v>47.67</v>
      </c>
      <c r="R64" s="472">
        <f t="shared" si="2"/>
        <v>4.3517744222859485E-2</v>
      </c>
      <c r="S64" s="473">
        <f t="shared" si="10"/>
        <v>4.3417744222859482E-2</v>
      </c>
      <c r="U64" s="473">
        <v>126.74</v>
      </c>
      <c r="V64" s="473">
        <f t="shared" si="3"/>
        <v>-2.5165910698126216E-2</v>
      </c>
      <c r="W64" s="473">
        <f t="shared" si="11"/>
        <v>-2.5265910698126216E-2</v>
      </c>
      <c r="Y64" s="473">
        <v>126.74</v>
      </c>
      <c r="Z64" s="473">
        <f t="shared" si="12"/>
        <v>-2.5165910698126216E-2</v>
      </c>
      <c r="AA64" s="473">
        <f t="shared" si="13"/>
        <v>-2.5265910698126216E-2</v>
      </c>
      <c r="AC64" s="473">
        <v>12.79</v>
      </c>
      <c r="AD64" s="473">
        <f t="shared" si="14"/>
        <v>-1.9357940907755628E-2</v>
      </c>
      <c r="AE64" s="473">
        <f t="shared" si="15"/>
        <v>-1.9457940907755628E-2</v>
      </c>
      <c r="AG64" s="473">
        <v>5.9</v>
      </c>
      <c r="AH64" s="473">
        <f t="shared" si="4"/>
        <v>1.6963532481785555E-3</v>
      </c>
      <c r="AI64" s="473">
        <f t="shared" si="5"/>
        <v>1.5963532481785554E-3</v>
      </c>
      <c r="AK64" s="473">
        <v>12.46</v>
      </c>
      <c r="AL64" s="473">
        <f t="shared" si="16"/>
        <v>3.3044001726172834E-2</v>
      </c>
      <c r="AM64" s="473">
        <f t="shared" si="17"/>
        <v>3.2944001726172831E-2</v>
      </c>
      <c r="AP64" s="473">
        <v>1325.83</v>
      </c>
      <c r="AQ64" s="473">
        <f t="shared" si="18"/>
        <v>-1.0478506829378123E-3</v>
      </c>
      <c r="AR64" s="473">
        <f t="shared" si="19"/>
        <v>-1.1478506829378124E-3</v>
      </c>
      <c r="AT64" s="473">
        <v>1134.8699999999999</v>
      </c>
      <c r="AU64" s="473">
        <f t="shared" si="6"/>
        <v>5.4870185776707053E-3</v>
      </c>
      <c r="AV64" s="473">
        <f t="shared" si="20"/>
        <v>5.387018577670705E-3</v>
      </c>
      <c r="AX64" s="473">
        <v>23338.02</v>
      </c>
      <c r="AY64" s="473">
        <f t="shared" si="7"/>
        <v>-4.6732652674655777E-3</v>
      </c>
      <c r="AZ64" s="473">
        <f t="shared" si="21"/>
        <v>-4.773265267465578E-3</v>
      </c>
    </row>
    <row r="65" spans="1:52">
      <c r="A65" s="403">
        <v>40633</v>
      </c>
      <c r="B65" s="405">
        <v>10562.7</v>
      </c>
      <c r="C65" s="402">
        <v>89.57</v>
      </c>
      <c r="D65" s="402">
        <v>64.400000000000006</v>
      </c>
      <c r="E65" s="407">
        <v>3.6687829621655142E-2</v>
      </c>
      <c r="F65" s="407">
        <v>1.0775724427892854E-2</v>
      </c>
      <c r="G65" s="407">
        <v>8.9272542452767001E-2</v>
      </c>
      <c r="H65" s="406">
        <v>1E-4</v>
      </c>
      <c r="I65" s="407">
        <v>3.6587829621655139E-2</v>
      </c>
      <c r="J65" s="407">
        <v>1.0675724427892854E-2</v>
      </c>
      <c r="K65" s="407">
        <v>8.9172542452766998E-2</v>
      </c>
      <c r="M65" s="456">
        <v>49.85</v>
      </c>
      <c r="N65" s="456">
        <f t="shared" si="8"/>
        <v>-2.3787048202827146E-2</v>
      </c>
      <c r="O65" s="456">
        <f t="shared" si="9"/>
        <v>-2.3887048202827145E-2</v>
      </c>
      <c r="Q65" s="472">
        <v>48.35</v>
      </c>
      <c r="R65" s="472">
        <f t="shared" si="2"/>
        <v>1.4163952682568981E-2</v>
      </c>
      <c r="S65" s="473">
        <f t="shared" si="10"/>
        <v>1.4063952682568982E-2</v>
      </c>
      <c r="U65" s="473">
        <v>131.32</v>
      </c>
      <c r="V65" s="473">
        <f t="shared" si="3"/>
        <v>3.5499348738021061E-2</v>
      </c>
      <c r="W65" s="473">
        <f t="shared" si="11"/>
        <v>3.5399348738021058E-2</v>
      </c>
      <c r="Y65" s="473">
        <v>131.32</v>
      </c>
      <c r="Z65" s="473">
        <f t="shared" si="12"/>
        <v>3.5499348738021061E-2</v>
      </c>
      <c r="AA65" s="473">
        <f t="shared" si="13"/>
        <v>3.5399348738021058E-2</v>
      </c>
      <c r="AC65" s="473">
        <v>12.55</v>
      </c>
      <c r="AD65" s="473">
        <f t="shared" si="14"/>
        <v>-1.8942950012958266E-2</v>
      </c>
      <c r="AE65" s="473">
        <f t="shared" si="15"/>
        <v>-1.9042950012958266E-2</v>
      </c>
      <c r="AG65" s="473">
        <v>6.13</v>
      </c>
      <c r="AH65" s="473">
        <f t="shared" si="4"/>
        <v>3.824239903644621E-2</v>
      </c>
      <c r="AI65" s="473">
        <f t="shared" si="5"/>
        <v>3.8142399036446208E-2</v>
      </c>
      <c r="AK65" s="473">
        <v>11.725</v>
      </c>
      <c r="AL65" s="473">
        <f t="shared" si="16"/>
        <v>-6.0800199026964118E-2</v>
      </c>
      <c r="AM65" s="473">
        <f t="shared" si="17"/>
        <v>-6.0900199026964121E-2</v>
      </c>
      <c r="AP65" s="473">
        <v>1363.61</v>
      </c>
      <c r="AQ65" s="473">
        <f t="shared" si="18"/>
        <v>2.809691636712916E-2</v>
      </c>
      <c r="AR65" s="473">
        <f t="shared" si="19"/>
        <v>2.7996916367129161E-2</v>
      </c>
      <c r="AT65" s="473">
        <v>1162.8399999999999</v>
      </c>
      <c r="AU65" s="473">
        <f t="shared" si="6"/>
        <v>2.4347181907210962E-2</v>
      </c>
      <c r="AV65" s="473">
        <f t="shared" si="20"/>
        <v>2.4247181907210962E-2</v>
      </c>
      <c r="AX65" s="473">
        <v>23527.52</v>
      </c>
      <c r="AY65" s="473">
        <f t="shared" si="7"/>
        <v>8.0870094645013359E-3</v>
      </c>
      <c r="AZ65" s="473">
        <f t="shared" si="21"/>
        <v>7.9870094645013365E-3</v>
      </c>
    </row>
    <row r="66" spans="1:52">
      <c r="A66" s="403">
        <v>40662</v>
      </c>
      <c r="B66" s="404">
        <v>10752</v>
      </c>
      <c r="C66" s="402">
        <v>93.32</v>
      </c>
      <c r="D66" s="402">
        <v>69.599999999999994</v>
      </c>
      <c r="E66" s="407">
        <v>1.7762856365521974E-2</v>
      </c>
      <c r="F66" s="407">
        <v>4.101400466612528E-2</v>
      </c>
      <c r="G66" s="407">
        <v>7.765093423006586E-2</v>
      </c>
      <c r="H66" s="406">
        <v>1E-4</v>
      </c>
      <c r="I66" s="407">
        <v>1.7662856365521975E-2</v>
      </c>
      <c r="J66" s="407">
        <v>4.0914004666125277E-2</v>
      </c>
      <c r="K66" s="407">
        <v>7.7550934230065857E-2</v>
      </c>
      <c r="M66" s="456">
        <v>52.19</v>
      </c>
      <c r="N66" s="456">
        <f t="shared" si="8"/>
        <v>4.5872409247474488E-2</v>
      </c>
      <c r="O66" s="456">
        <f t="shared" si="9"/>
        <v>4.5772409247474485E-2</v>
      </c>
      <c r="Q66" s="472">
        <v>45.63</v>
      </c>
      <c r="R66" s="472">
        <f t="shared" si="2"/>
        <v>-5.7900826959992137E-2</v>
      </c>
      <c r="S66" s="473">
        <f t="shared" si="10"/>
        <v>-5.800082695999214E-2</v>
      </c>
      <c r="U66" s="473">
        <v>140.91999999999999</v>
      </c>
      <c r="V66" s="473">
        <f t="shared" si="3"/>
        <v>7.0555260839644848E-2</v>
      </c>
      <c r="W66" s="473">
        <f t="shared" si="11"/>
        <v>7.0455260839644845E-2</v>
      </c>
      <c r="Y66" s="473">
        <v>140.91999999999999</v>
      </c>
      <c r="Z66" s="473">
        <f t="shared" si="12"/>
        <v>7.0555260839644848E-2</v>
      </c>
      <c r="AA66" s="473">
        <f t="shared" si="13"/>
        <v>7.0455260839644845E-2</v>
      </c>
      <c r="AC66" s="473">
        <v>11.49</v>
      </c>
      <c r="AD66" s="473">
        <f t="shared" si="14"/>
        <v>-8.824357371712864E-2</v>
      </c>
      <c r="AE66" s="473">
        <f t="shared" si="15"/>
        <v>-8.8343573717128643E-2</v>
      </c>
      <c r="AG66" s="473">
        <v>6.83</v>
      </c>
      <c r="AH66" s="473">
        <f t="shared" si="4"/>
        <v>0.10812992363457875</v>
      </c>
      <c r="AI66" s="473">
        <f t="shared" si="5"/>
        <v>0.10802992363457875</v>
      </c>
      <c r="AK66" s="473">
        <v>13.1525</v>
      </c>
      <c r="AL66" s="473">
        <f t="shared" si="16"/>
        <v>0.11488854029048214</v>
      </c>
      <c r="AM66" s="473">
        <f t="shared" si="17"/>
        <v>0.11478854029048213</v>
      </c>
      <c r="AP66" s="473">
        <v>1345.2</v>
      </c>
      <c r="AQ66" s="473">
        <f t="shared" si="18"/>
        <v>-1.3592893899637262E-2</v>
      </c>
      <c r="AR66" s="473">
        <f t="shared" si="19"/>
        <v>-1.3692893899637262E-2</v>
      </c>
      <c r="AT66" s="473">
        <v>1151.3599999999999</v>
      </c>
      <c r="AU66" s="473">
        <f t="shared" si="6"/>
        <v>-9.9214364957525281E-3</v>
      </c>
      <c r="AV66" s="473">
        <f t="shared" si="20"/>
        <v>-1.0021436495752527E-2</v>
      </c>
      <c r="AX66" s="473">
        <v>23720.81</v>
      </c>
      <c r="AY66" s="473">
        <f t="shared" si="7"/>
        <v>8.1819221249452151E-3</v>
      </c>
      <c r="AZ66" s="473">
        <f t="shared" si="21"/>
        <v>8.0819221249452157E-3</v>
      </c>
    </row>
    <row r="67" spans="1:52">
      <c r="A67" s="403">
        <v>40694</v>
      </c>
      <c r="B67" s="405">
        <v>10680.4</v>
      </c>
      <c r="C67" s="402">
        <v>95.86</v>
      </c>
      <c r="D67" s="402">
        <v>64.349999999999994</v>
      </c>
      <c r="E67" s="407">
        <v>-6.6814977665773335E-3</v>
      </c>
      <c r="F67" s="407">
        <v>2.6854346578256017E-2</v>
      </c>
      <c r="G67" s="407">
        <v>-7.8427633298238347E-2</v>
      </c>
      <c r="H67" s="406">
        <v>1E-4</v>
      </c>
      <c r="I67" s="407">
        <v>-6.7814977665773338E-3</v>
      </c>
      <c r="J67" s="407">
        <v>2.6754346578256018E-2</v>
      </c>
      <c r="K67" s="407">
        <v>-7.852763329823835E-2</v>
      </c>
      <c r="M67" s="456">
        <v>49.104999999999997</v>
      </c>
      <c r="N67" s="456">
        <f t="shared" si="8"/>
        <v>-6.093004304558429E-2</v>
      </c>
      <c r="O67" s="456">
        <f t="shared" si="9"/>
        <v>-6.1030043045584292E-2</v>
      </c>
      <c r="Q67" s="472">
        <v>46.62</v>
      </c>
      <c r="R67" s="472">
        <f t="shared" si="2"/>
        <v>2.1464238668299787E-2</v>
      </c>
      <c r="S67" s="473">
        <f t="shared" si="10"/>
        <v>2.1364238668299788E-2</v>
      </c>
      <c r="U67" s="473">
        <v>139.71</v>
      </c>
      <c r="V67" s="473">
        <f t="shared" si="3"/>
        <v>-8.6235078106412406E-3</v>
      </c>
      <c r="W67" s="473">
        <f t="shared" si="11"/>
        <v>-8.72350781064124E-3</v>
      </c>
      <c r="Y67" s="473">
        <v>139.71</v>
      </c>
      <c r="Z67" s="473">
        <f t="shared" si="12"/>
        <v>-8.6235078106412406E-3</v>
      </c>
      <c r="AA67" s="473">
        <f t="shared" si="13"/>
        <v>-8.72350781064124E-3</v>
      </c>
      <c r="AC67" s="473">
        <v>13.2</v>
      </c>
      <c r="AD67" s="473">
        <f t="shared" si="14"/>
        <v>0.13873973773166082</v>
      </c>
      <c r="AE67" s="473">
        <f t="shared" si="15"/>
        <v>0.13863973773166083</v>
      </c>
      <c r="AG67" s="473">
        <v>6.75</v>
      </c>
      <c r="AH67" s="473">
        <f t="shared" si="4"/>
        <v>-1.178216869826024E-2</v>
      </c>
      <c r="AI67" s="473">
        <f t="shared" si="5"/>
        <v>-1.188216869826024E-2</v>
      </c>
      <c r="AK67" s="473">
        <v>13.112500000000001</v>
      </c>
      <c r="AL67" s="473">
        <f t="shared" si="16"/>
        <v>-3.0458809004096014E-3</v>
      </c>
      <c r="AM67" s="473">
        <f t="shared" si="17"/>
        <v>-3.1458809004096012E-3</v>
      </c>
      <c r="AP67" s="473">
        <v>1320.64</v>
      </c>
      <c r="AQ67" s="473">
        <f t="shared" si="18"/>
        <v>-1.8426233301897538E-2</v>
      </c>
      <c r="AR67" s="473">
        <f t="shared" si="19"/>
        <v>-1.8526233301897538E-2</v>
      </c>
      <c r="AT67" s="473">
        <v>1115.23</v>
      </c>
      <c r="AU67" s="473">
        <f t="shared" si="6"/>
        <v>-3.1883190673375465E-2</v>
      </c>
      <c r="AV67" s="473">
        <f t="shared" si="20"/>
        <v>-3.1983190673375468E-2</v>
      </c>
      <c r="AX67" s="473">
        <v>23684.13</v>
      </c>
      <c r="AY67" s="473">
        <f t="shared" si="7"/>
        <v>-1.5475183523128383E-3</v>
      </c>
      <c r="AZ67" s="473">
        <f t="shared" si="21"/>
        <v>-1.6475183523128384E-3</v>
      </c>
    </row>
    <row r="68" spans="1:52">
      <c r="A68" s="403">
        <v>40724</v>
      </c>
      <c r="B68" s="405">
        <v>11087.5</v>
      </c>
      <c r="C68" s="402">
        <v>93.3</v>
      </c>
      <c r="D68" s="402">
        <v>60</v>
      </c>
      <c r="E68" s="407">
        <v>3.7408061621481518E-2</v>
      </c>
      <c r="F68" s="407">
        <v>-2.7068685878187088E-2</v>
      </c>
      <c r="G68" s="407">
        <v>-6.9992371820034913E-2</v>
      </c>
      <c r="H68" s="406">
        <v>1E-4</v>
      </c>
      <c r="I68" s="407">
        <v>3.7308061621481516E-2</v>
      </c>
      <c r="J68" s="407">
        <v>-2.7168685878187087E-2</v>
      </c>
      <c r="K68" s="407">
        <v>-7.0092371820034916E-2</v>
      </c>
      <c r="M68" s="456">
        <v>51.9</v>
      </c>
      <c r="N68" s="456">
        <f t="shared" si="8"/>
        <v>5.5357927562105454E-2</v>
      </c>
      <c r="O68" s="456">
        <f t="shared" si="9"/>
        <v>5.5257927562105451E-2</v>
      </c>
      <c r="Q68" s="472">
        <v>39.07</v>
      </c>
      <c r="R68" s="472">
        <f t="shared" si="2"/>
        <v>-0.17667472454063174</v>
      </c>
      <c r="S68" s="473">
        <f t="shared" si="10"/>
        <v>-0.17677472454063173</v>
      </c>
      <c r="U68" s="473">
        <v>134.75</v>
      </c>
      <c r="V68" s="473">
        <f t="shared" si="3"/>
        <v>-3.6147635873289036E-2</v>
      </c>
      <c r="W68" s="473">
        <f t="shared" si="11"/>
        <v>-3.6247635873289039E-2</v>
      </c>
      <c r="Y68" s="473">
        <v>134.75</v>
      </c>
      <c r="Z68" s="473">
        <f t="shared" si="12"/>
        <v>-3.6147635873289036E-2</v>
      </c>
      <c r="AA68" s="473">
        <f t="shared" si="13"/>
        <v>-3.6247635873289039E-2</v>
      </c>
      <c r="AC68" s="473">
        <v>14.12</v>
      </c>
      <c r="AD68" s="473">
        <f t="shared" si="14"/>
        <v>6.7375402472770754E-2</v>
      </c>
      <c r="AE68" s="473">
        <f t="shared" si="15"/>
        <v>6.7275402472770751E-2</v>
      </c>
      <c r="AG68" s="473">
        <v>6.68</v>
      </c>
      <c r="AH68" s="473">
        <f t="shared" si="4"/>
        <v>-1.0424517335884091E-2</v>
      </c>
      <c r="AI68" s="473">
        <f t="shared" si="5"/>
        <v>-1.052451733588409E-2</v>
      </c>
      <c r="AK68" s="473">
        <v>14</v>
      </c>
      <c r="AL68" s="473">
        <f t="shared" si="16"/>
        <v>6.5491355892843064E-2</v>
      </c>
      <c r="AM68" s="473">
        <f t="shared" si="17"/>
        <v>6.5391355892843062E-2</v>
      </c>
      <c r="AP68" s="473">
        <v>1292.28</v>
      </c>
      <c r="AQ68" s="473">
        <f t="shared" si="18"/>
        <v>-2.1708367435427242E-2</v>
      </c>
      <c r="AR68" s="473">
        <f t="shared" si="19"/>
        <v>-2.1808367435427242E-2</v>
      </c>
      <c r="AT68" s="473">
        <v>1065.97</v>
      </c>
      <c r="AU68" s="473">
        <f t="shared" si="6"/>
        <v>-4.5175478908076466E-2</v>
      </c>
      <c r="AV68" s="473">
        <f t="shared" si="20"/>
        <v>-4.5275478908076469E-2</v>
      </c>
      <c r="AX68" s="473">
        <v>22398.1</v>
      </c>
      <c r="AY68" s="473">
        <f t="shared" si="7"/>
        <v>-5.5829069757263171E-2</v>
      </c>
      <c r="AZ68" s="473">
        <f t="shared" si="21"/>
        <v>-5.5929069757263174E-2</v>
      </c>
    </row>
    <row r="69" spans="1:52">
      <c r="A69" s="403">
        <v>40753</v>
      </c>
      <c r="B69" s="404">
        <v>9957</v>
      </c>
      <c r="C69" s="402">
        <v>76.069999999999993</v>
      </c>
      <c r="D69" s="402">
        <v>58</v>
      </c>
      <c r="E69" s="407">
        <v>-0.10754252622975069</v>
      </c>
      <c r="F69" s="407">
        <v>-0.20416613884408846</v>
      </c>
      <c r="G69" s="407">
        <v>-3.3901551675681339E-2</v>
      </c>
      <c r="H69" s="406">
        <v>1E-4</v>
      </c>
      <c r="I69" s="407">
        <v>-0.10764252622975069</v>
      </c>
      <c r="J69" s="407">
        <v>-0.20426613884408845</v>
      </c>
      <c r="K69" s="407">
        <v>-3.4001551675681342E-2</v>
      </c>
      <c r="M69" s="456">
        <v>50.66</v>
      </c>
      <c r="N69" s="456">
        <f t="shared" si="8"/>
        <v>-2.4182145598313855E-2</v>
      </c>
      <c r="O69" s="456">
        <f t="shared" si="9"/>
        <v>-2.4282145598313855E-2</v>
      </c>
      <c r="Q69" s="472">
        <v>34.5</v>
      </c>
      <c r="R69" s="472">
        <f t="shared" si="2"/>
        <v>-0.12439558502966511</v>
      </c>
      <c r="S69" s="473">
        <f t="shared" si="10"/>
        <v>-0.12449558502966511</v>
      </c>
      <c r="U69" s="473">
        <v>112.8</v>
      </c>
      <c r="V69" s="473">
        <f t="shared" si="3"/>
        <v>-0.17780487072514797</v>
      </c>
      <c r="W69" s="473">
        <f t="shared" si="11"/>
        <v>-0.17790487072514796</v>
      </c>
      <c r="Y69" s="473">
        <v>112.8</v>
      </c>
      <c r="Z69" s="473">
        <f t="shared" si="12"/>
        <v>-0.17780487072514797</v>
      </c>
      <c r="AA69" s="473">
        <f t="shared" si="13"/>
        <v>-0.17790487072514796</v>
      </c>
      <c r="AC69" s="473">
        <v>14.81</v>
      </c>
      <c r="AD69" s="473">
        <f t="shared" si="14"/>
        <v>4.7710396214611504E-2</v>
      </c>
      <c r="AE69" s="473">
        <f t="shared" si="15"/>
        <v>4.7610396214611501E-2</v>
      </c>
      <c r="AG69" s="473">
        <v>4.62</v>
      </c>
      <c r="AH69" s="473">
        <f t="shared" si="4"/>
        <v>-0.36872328245490676</v>
      </c>
      <c r="AI69" s="473">
        <f t="shared" si="5"/>
        <v>-0.36882328245490675</v>
      </c>
      <c r="AK69" s="473">
        <v>15.577500000000001</v>
      </c>
      <c r="AL69" s="473">
        <f t="shared" si="16"/>
        <v>0.10677023582098137</v>
      </c>
      <c r="AM69" s="473">
        <f t="shared" si="17"/>
        <v>0.10667023582098137</v>
      </c>
      <c r="AP69" s="473">
        <v>1218.8900000000001</v>
      </c>
      <c r="AQ69" s="473">
        <f t="shared" si="18"/>
        <v>-5.8467491619120418E-2</v>
      </c>
      <c r="AR69" s="473">
        <f t="shared" si="19"/>
        <v>-5.8567491619120421E-2</v>
      </c>
      <c r="AT69" s="473">
        <v>954.63</v>
      </c>
      <c r="AU69" s="473">
        <f t="shared" si="6"/>
        <v>-0.11031663088706334</v>
      </c>
      <c r="AV69" s="473">
        <f t="shared" si="20"/>
        <v>-0.11041663088706334</v>
      </c>
      <c r="AX69" s="473">
        <v>22440.25</v>
      </c>
      <c r="AY69" s="473">
        <f t="shared" si="7"/>
        <v>1.8800875775195382E-3</v>
      </c>
      <c r="AZ69" s="473">
        <f t="shared" si="21"/>
        <v>1.7800875775195381E-3</v>
      </c>
    </row>
    <row r="70" spans="1:52">
      <c r="A70" s="403">
        <v>40786</v>
      </c>
      <c r="B70" s="405">
        <v>8837.5</v>
      </c>
      <c r="C70" s="402">
        <v>60.12</v>
      </c>
      <c r="D70" s="402">
        <v>41.65</v>
      </c>
      <c r="E70" s="407">
        <v>-0.11927179018325609</v>
      </c>
      <c r="F70" s="407">
        <v>-0.23531140412443596</v>
      </c>
      <c r="G70" s="407">
        <v>-0.33114164193356771</v>
      </c>
      <c r="H70" s="406">
        <v>1E-4</v>
      </c>
      <c r="I70" s="407">
        <v>-0.1193717901832561</v>
      </c>
      <c r="J70" s="407">
        <v>-0.23541140412443595</v>
      </c>
      <c r="K70" s="407">
        <v>-0.3312416419335677</v>
      </c>
      <c r="M70" s="456">
        <v>37.67</v>
      </c>
      <c r="N70" s="456">
        <f t="shared" si="8"/>
        <v>-0.29627262286957939</v>
      </c>
      <c r="O70" s="456">
        <f t="shared" si="9"/>
        <v>-0.29637262286957938</v>
      </c>
      <c r="Q70" s="472">
        <v>31.01</v>
      </c>
      <c r="R70" s="472">
        <f t="shared" si="2"/>
        <v>-0.10664959092495645</v>
      </c>
      <c r="S70" s="473">
        <f t="shared" si="10"/>
        <v>-0.10674959092495645</v>
      </c>
      <c r="U70" s="473">
        <v>105.64</v>
      </c>
      <c r="V70" s="473">
        <f t="shared" si="3"/>
        <v>-6.5579251635027064E-2</v>
      </c>
      <c r="W70" s="473">
        <f t="shared" si="11"/>
        <v>-6.5679251635027067E-2</v>
      </c>
      <c r="Y70" s="473">
        <v>105.64</v>
      </c>
      <c r="Z70" s="473">
        <f t="shared" si="12"/>
        <v>-6.5579251635027064E-2</v>
      </c>
      <c r="AA70" s="473">
        <f t="shared" si="13"/>
        <v>-6.5679251635027067E-2</v>
      </c>
      <c r="AC70" s="473">
        <v>11.93</v>
      </c>
      <c r="AD70" s="473">
        <f t="shared" si="14"/>
        <v>-0.21624639216988276</v>
      </c>
      <c r="AE70" s="473">
        <f t="shared" si="15"/>
        <v>-0.21634639216988275</v>
      </c>
      <c r="AG70" s="473">
        <v>4.1500000000000004</v>
      </c>
      <c r="AH70" s="473">
        <f t="shared" si="4"/>
        <v>-0.10728637085104048</v>
      </c>
      <c r="AI70" s="473">
        <f t="shared" si="5"/>
        <v>-0.10738637085104048</v>
      </c>
      <c r="AK70" s="473">
        <v>13.25</v>
      </c>
      <c r="AL70" s="473">
        <f t="shared" si="16"/>
        <v>-0.1618300130040089</v>
      </c>
      <c r="AM70" s="473">
        <f t="shared" si="17"/>
        <v>-0.16193001300400889</v>
      </c>
      <c r="AP70" s="473">
        <v>1131.42</v>
      </c>
      <c r="AQ70" s="473">
        <f t="shared" si="18"/>
        <v>-7.4467127542783104E-2</v>
      </c>
      <c r="AR70" s="473">
        <f t="shared" si="19"/>
        <v>-7.4567127542783107E-2</v>
      </c>
      <c r="AT70" s="473">
        <v>910.17</v>
      </c>
      <c r="AU70" s="473">
        <f t="shared" si="6"/>
        <v>-4.7692435603299839E-2</v>
      </c>
      <c r="AV70" s="473">
        <f t="shared" si="20"/>
        <v>-4.7792435603299842E-2</v>
      </c>
      <c r="AX70" s="473">
        <v>20534.849999999999</v>
      </c>
      <c r="AY70" s="473">
        <f t="shared" si="7"/>
        <v>-8.8732778632457557E-2</v>
      </c>
      <c r="AZ70" s="473">
        <f t="shared" si="21"/>
        <v>-8.883277863245756E-2</v>
      </c>
    </row>
    <row r="71" spans="1:52">
      <c r="A71" s="403">
        <v>40816</v>
      </c>
      <c r="B71" s="405">
        <v>7783.14</v>
      </c>
      <c r="C71" s="402">
        <v>52.81</v>
      </c>
      <c r="D71" s="402">
        <v>42.81</v>
      </c>
      <c r="E71" s="407">
        <v>-0.12704417548482572</v>
      </c>
      <c r="F71" s="407">
        <v>-0.12964199816593189</v>
      </c>
      <c r="G71" s="407">
        <v>2.74703515440031E-2</v>
      </c>
      <c r="H71" s="406">
        <v>1E-4</v>
      </c>
      <c r="I71" s="407">
        <v>-0.12714417548482571</v>
      </c>
      <c r="J71" s="407">
        <v>-0.12974199816593188</v>
      </c>
      <c r="K71" s="407">
        <v>2.7370351544003101E-2</v>
      </c>
      <c r="M71" s="456">
        <v>33.630000000000003</v>
      </c>
      <c r="N71" s="456">
        <f t="shared" si="8"/>
        <v>-0.11344549595177146</v>
      </c>
      <c r="O71" s="456">
        <f t="shared" si="9"/>
        <v>-0.11354549595177146</v>
      </c>
      <c r="Q71" s="472">
        <v>39.65</v>
      </c>
      <c r="R71" s="472">
        <f t="shared" si="2"/>
        <v>0.24578121496849936</v>
      </c>
      <c r="S71" s="473">
        <f t="shared" si="10"/>
        <v>0.24568121496849937</v>
      </c>
      <c r="U71" s="473">
        <v>91.17</v>
      </c>
      <c r="V71" s="473">
        <f t="shared" si="3"/>
        <v>-0.14731119183212013</v>
      </c>
      <c r="W71" s="473">
        <f t="shared" si="11"/>
        <v>-0.14741119183212012</v>
      </c>
      <c r="Y71" s="473">
        <v>91.17</v>
      </c>
      <c r="Z71" s="473">
        <f t="shared" si="12"/>
        <v>-0.14731119183212013</v>
      </c>
      <c r="AA71" s="473">
        <f t="shared" si="13"/>
        <v>-0.14741119183212012</v>
      </c>
      <c r="AC71" s="473">
        <v>10.3</v>
      </c>
      <c r="AD71" s="473">
        <f t="shared" si="14"/>
        <v>-0.14691234087423449</v>
      </c>
      <c r="AE71" s="473">
        <f t="shared" si="15"/>
        <v>-0.14701234087423448</v>
      </c>
      <c r="AG71" s="473">
        <v>4.5</v>
      </c>
      <c r="AH71" s="473">
        <f t="shared" si="4"/>
        <v>8.0969062533667091E-2</v>
      </c>
      <c r="AI71" s="473">
        <f t="shared" si="5"/>
        <v>8.0869062533667088E-2</v>
      </c>
      <c r="AK71" s="473">
        <v>12.154999999999999</v>
      </c>
      <c r="AL71" s="473">
        <f t="shared" si="16"/>
        <v>-8.6256944664144589E-2</v>
      </c>
      <c r="AM71" s="473">
        <f t="shared" si="17"/>
        <v>-8.6356944664144591E-2</v>
      </c>
      <c r="AP71" s="473">
        <v>1253.3</v>
      </c>
      <c r="AQ71" s="473">
        <f t="shared" si="18"/>
        <v>0.10230659165059017</v>
      </c>
      <c r="AR71" s="473">
        <f t="shared" si="19"/>
        <v>0.10220659165059016</v>
      </c>
      <c r="AT71" s="473">
        <v>990.44</v>
      </c>
      <c r="AU71" s="473">
        <f t="shared" si="6"/>
        <v>8.4517893586603693E-2</v>
      </c>
      <c r="AV71" s="473">
        <f t="shared" si="20"/>
        <v>8.441789358660369E-2</v>
      </c>
      <c r="AX71" s="473">
        <v>17592.41</v>
      </c>
      <c r="AY71" s="473">
        <f t="shared" si="7"/>
        <v>-0.15465588375086178</v>
      </c>
      <c r="AZ71" s="473">
        <f t="shared" si="21"/>
        <v>-0.15475588375086177</v>
      </c>
    </row>
    <row r="72" spans="1:52">
      <c r="A72" s="403">
        <v>40847</v>
      </c>
      <c r="B72" s="405">
        <v>8855.4699999999993</v>
      </c>
      <c r="C72" s="402">
        <v>63.06</v>
      </c>
      <c r="D72" s="402">
        <v>46.555</v>
      </c>
      <c r="E72" s="407">
        <v>0.12907549144580358</v>
      </c>
      <c r="F72" s="407">
        <v>0.17738608739807304</v>
      </c>
      <c r="G72" s="407">
        <v>8.3862689183638289E-2</v>
      </c>
      <c r="H72" s="406">
        <v>1E-4</v>
      </c>
      <c r="I72" s="407">
        <v>0.12897549144580359</v>
      </c>
      <c r="J72" s="407">
        <v>0.17728608739807306</v>
      </c>
      <c r="K72" s="407">
        <v>8.3762689183638286E-2</v>
      </c>
      <c r="M72" s="456">
        <v>37</v>
      </c>
      <c r="N72" s="456">
        <f t="shared" si="8"/>
        <v>9.5499386892046137E-2</v>
      </c>
      <c r="O72" s="456">
        <f t="shared" si="9"/>
        <v>9.5399386892046134E-2</v>
      </c>
      <c r="Q72" s="472">
        <v>37.36</v>
      </c>
      <c r="R72" s="472">
        <f t="shared" ref="R72:R103" si="22">LN(Q72/Q71)</f>
        <v>-5.9490334720215129E-2</v>
      </c>
      <c r="S72" s="473">
        <f t="shared" si="10"/>
        <v>-5.9590334720215132E-2</v>
      </c>
      <c r="U72" s="473">
        <v>101.04</v>
      </c>
      <c r="V72" s="473">
        <f t="shared" ref="V72:V103" si="23">LN(U72/U71)</f>
        <v>0.10279058244542433</v>
      </c>
      <c r="W72" s="473">
        <f t="shared" si="11"/>
        <v>0.10269058244542432</v>
      </c>
      <c r="Y72" s="473">
        <v>101.04</v>
      </c>
      <c r="Z72" s="473">
        <f t="shared" si="12"/>
        <v>0.10279058244542433</v>
      </c>
      <c r="AA72" s="473">
        <f t="shared" si="13"/>
        <v>0.10269058244542432</v>
      </c>
      <c r="AC72" s="473">
        <v>12.41</v>
      </c>
      <c r="AD72" s="473">
        <f t="shared" si="14"/>
        <v>0.18635870398092572</v>
      </c>
      <c r="AE72" s="473">
        <f t="shared" si="15"/>
        <v>0.18625870398092573</v>
      </c>
      <c r="AG72" s="473">
        <v>3.95</v>
      </c>
      <c r="AH72" s="473">
        <f t="shared" ref="AH72:AH103" si="24">LN(AG72/AG71)</f>
        <v>-0.13036181786324358</v>
      </c>
      <c r="AI72" s="473">
        <f t="shared" ref="AI72:AI103" si="25">AH72-H73</f>
        <v>-0.13046181786324357</v>
      </c>
      <c r="AK72" s="473">
        <v>15.8</v>
      </c>
      <c r="AL72" s="473">
        <f t="shared" si="16"/>
        <v>0.26226933226483451</v>
      </c>
      <c r="AM72" s="473">
        <f t="shared" si="17"/>
        <v>0.26216933226483452</v>
      </c>
      <c r="AP72" s="473">
        <v>1246.96</v>
      </c>
      <c r="AQ72" s="473">
        <f t="shared" si="18"/>
        <v>-5.0714834366809821E-3</v>
      </c>
      <c r="AR72" s="473">
        <f t="shared" si="19"/>
        <v>-5.1714834366809823E-3</v>
      </c>
      <c r="AT72" s="473">
        <v>979.36</v>
      </c>
      <c r="AU72" s="473">
        <f t="shared" si="6"/>
        <v>-1.1249991734142355E-2</v>
      </c>
      <c r="AV72" s="473">
        <f t="shared" si="20"/>
        <v>-1.1349991734142355E-2</v>
      </c>
      <c r="AX72" s="473">
        <v>19864.87</v>
      </c>
      <c r="AY72" s="473">
        <f t="shared" si="7"/>
        <v>0.12148528604289807</v>
      </c>
      <c r="AZ72" s="473">
        <f t="shared" si="21"/>
        <v>0.12138528604289807</v>
      </c>
    </row>
    <row r="73" spans="1:52">
      <c r="A73" s="403">
        <v>40877</v>
      </c>
      <c r="B73" s="405">
        <v>8987.15</v>
      </c>
      <c r="C73" s="402">
        <v>65.42</v>
      </c>
      <c r="D73" s="402">
        <v>45.454999999999998</v>
      </c>
      <c r="E73" s="407">
        <v>1.4760432128842812E-2</v>
      </c>
      <c r="F73" s="407">
        <v>3.6741367993323178E-2</v>
      </c>
      <c r="G73" s="407">
        <v>-2.3911583766671615E-2</v>
      </c>
      <c r="H73" s="406">
        <v>1E-4</v>
      </c>
      <c r="I73" s="407">
        <v>1.4660432128842812E-2</v>
      </c>
      <c r="J73" s="407">
        <v>3.6641367993323175E-2</v>
      </c>
      <c r="K73" s="407">
        <v>-2.4011583766671615E-2</v>
      </c>
      <c r="M73" s="456">
        <v>33.61</v>
      </c>
      <c r="N73" s="456">
        <f t="shared" si="8"/>
        <v>-9.6094270907210219E-2</v>
      </c>
      <c r="O73" s="456">
        <f t="shared" si="9"/>
        <v>-9.6194270907210222E-2</v>
      </c>
      <c r="Q73" s="472">
        <v>35.17</v>
      </c>
      <c r="R73" s="472">
        <f t="shared" si="22"/>
        <v>-6.0407166874750721E-2</v>
      </c>
      <c r="S73" s="473">
        <f t="shared" si="10"/>
        <v>-6.0507166874750724E-2</v>
      </c>
      <c r="U73" s="473">
        <v>125.84</v>
      </c>
      <c r="V73" s="473">
        <f t="shared" si="23"/>
        <v>0.21949478070778661</v>
      </c>
      <c r="W73" s="473">
        <f t="shared" si="11"/>
        <v>0.21939478070778662</v>
      </c>
      <c r="Y73" s="473">
        <v>125.84</v>
      </c>
      <c r="Z73" s="473">
        <f t="shared" si="12"/>
        <v>0.21949478070778661</v>
      </c>
      <c r="AA73" s="473">
        <f t="shared" si="13"/>
        <v>0.21939478070778662</v>
      </c>
      <c r="AC73" s="473">
        <v>10.64</v>
      </c>
      <c r="AD73" s="473">
        <f t="shared" si="14"/>
        <v>-0.15388211530301754</v>
      </c>
      <c r="AE73" s="473">
        <f t="shared" si="15"/>
        <v>-0.15398211530301753</v>
      </c>
      <c r="AG73" s="473">
        <v>4.08</v>
      </c>
      <c r="AH73" s="473">
        <f t="shared" si="24"/>
        <v>3.2381409503039783E-2</v>
      </c>
      <c r="AI73" s="473">
        <f t="shared" si="25"/>
        <v>3.228140950303978E-2</v>
      </c>
      <c r="AK73" s="473">
        <v>16.887499999999999</v>
      </c>
      <c r="AL73" s="473">
        <f t="shared" si="16"/>
        <v>6.6563763253395955E-2</v>
      </c>
      <c r="AM73" s="473">
        <f t="shared" si="17"/>
        <v>6.6463763253395952E-2</v>
      </c>
      <c r="AP73" s="473">
        <v>1257.5999999999999</v>
      </c>
      <c r="AQ73" s="473">
        <f t="shared" si="18"/>
        <v>8.4965534941463527E-3</v>
      </c>
      <c r="AR73" s="473">
        <f t="shared" si="19"/>
        <v>8.3965534941463534E-3</v>
      </c>
      <c r="AT73" s="473">
        <v>987.85</v>
      </c>
      <c r="AU73" s="473">
        <f t="shared" si="6"/>
        <v>8.6315672566544405E-3</v>
      </c>
      <c r="AV73" s="473">
        <f t="shared" si="20"/>
        <v>8.5315672566544411E-3</v>
      </c>
      <c r="AX73" s="473">
        <v>17989.349999999999</v>
      </c>
      <c r="AY73" s="473">
        <f t="shared" si="7"/>
        <v>-9.9172928946276578E-2</v>
      </c>
      <c r="AZ73" s="473">
        <f t="shared" si="21"/>
        <v>-9.9272928946276581E-2</v>
      </c>
    </row>
    <row r="74" spans="1:52">
      <c r="A74" s="403">
        <v>40907</v>
      </c>
      <c r="B74" s="405">
        <v>9229.09</v>
      </c>
      <c r="C74" s="402">
        <v>73.03</v>
      </c>
      <c r="D74" s="402">
        <v>48.35</v>
      </c>
      <c r="E74" s="407">
        <v>2.6564672792487126E-2</v>
      </c>
      <c r="F74" s="407">
        <v>0.1100422935217806</v>
      </c>
      <c r="G74" s="407">
        <v>6.1743396325481932E-2</v>
      </c>
      <c r="H74" s="406">
        <v>1E-4</v>
      </c>
      <c r="I74" s="407">
        <v>2.6464672792487126E-2</v>
      </c>
      <c r="J74" s="407">
        <v>0.1099422935217806</v>
      </c>
      <c r="K74" s="407">
        <v>6.1643396325481929E-2</v>
      </c>
      <c r="M74" s="456">
        <v>33.92</v>
      </c>
      <c r="N74" s="456">
        <f t="shared" si="8"/>
        <v>9.1811691866881002E-3</v>
      </c>
      <c r="O74" s="456">
        <f t="shared" si="9"/>
        <v>9.0811691866881008E-3</v>
      </c>
      <c r="Q74" s="472">
        <v>41.48</v>
      </c>
      <c r="R74" s="472">
        <f t="shared" si="22"/>
        <v>0.16501793687543534</v>
      </c>
      <c r="S74" s="473">
        <f t="shared" si="10"/>
        <v>0.16491793687543535</v>
      </c>
      <c r="U74" s="473">
        <v>125.84</v>
      </c>
      <c r="V74" s="473">
        <f t="shared" si="23"/>
        <v>0</v>
      </c>
      <c r="W74" s="473">
        <f t="shared" si="11"/>
        <v>-1E-4</v>
      </c>
      <c r="Y74" s="473">
        <v>125.84</v>
      </c>
      <c r="Z74" s="473">
        <f t="shared" si="12"/>
        <v>0</v>
      </c>
      <c r="AA74" s="473">
        <f t="shared" si="13"/>
        <v>-1E-4</v>
      </c>
      <c r="AC74" s="473">
        <v>12.8</v>
      </c>
      <c r="AD74" s="473">
        <f t="shared" si="14"/>
        <v>0.18482468701207311</v>
      </c>
      <c r="AE74" s="473">
        <f t="shared" si="15"/>
        <v>0.18472468701207312</v>
      </c>
      <c r="AG74" s="473">
        <v>5.14</v>
      </c>
      <c r="AH74" s="473">
        <f t="shared" si="24"/>
        <v>0.23095609105100337</v>
      </c>
      <c r="AI74" s="473">
        <f t="shared" si="25"/>
        <v>0.23085609105100338</v>
      </c>
      <c r="AK74" s="473">
        <v>17</v>
      </c>
      <c r="AL74" s="473">
        <f t="shared" si="16"/>
        <v>6.6396407698987962E-3</v>
      </c>
      <c r="AM74" s="473">
        <f t="shared" si="17"/>
        <v>6.539640769898796E-3</v>
      </c>
      <c r="AP74" s="473">
        <v>1312.41</v>
      </c>
      <c r="AQ74" s="473">
        <f t="shared" si="18"/>
        <v>4.2659999011137491E-2</v>
      </c>
      <c r="AR74" s="473">
        <f t="shared" si="19"/>
        <v>4.2559999011137488E-2</v>
      </c>
      <c r="AT74" s="473">
        <v>1036.3399999999999</v>
      </c>
      <c r="AU74" s="473">
        <f t="shared" si="6"/>
        <v>4.791968994717434E-2</v>
      </c>
      <c r="AV74" s="473">
        <f t="shared" si="20"/>
        <v>4.7819689947174338E-2</v>
      </c>
      <c r="AX74" s="473">
        <v>18434.39</v>
      </c>
      <c r="AY74" s="473">
        <f t="shared" si="7"/>
        <v>2.443802578050527E-2</v>
      </c>
      <c r="AZ74" s="473">
        <f t="shared" si="21"/>
        <v>2.4338025780505271E-2</v>
      </c>
    </row>
    <row r="75" spans="1:52">
      <c r="A75" s="403">
        <v>40939</v>
      </c>
      <c r="B75" s="405">
        <v>10212.17</v>
      </c>
      <c r="C75" s="402">
        <v>82.03</v>
      </c>
      <c r="D75" s="402">
        <v>58.34</v>
      </c>
      <c r="E75" s="407">
        <v>0.10121969421754196</v>
      </c>
      <c r="F75" s="407">
        <v>0.11621471838264016</v>
      </c>
      <c r="G75" s="407">
        <v>0.18782174254027212</v>
      </c>
      <c r="H75" s="406">
        <v>1E-4</v>
      </c>
      <c r="I75" s="407">
        <v>0.10111969421754195</v>
      </c>
      <c r="J75" s="407">
        <v>0.11611471838264016</v>
      </c>
      <c r="K75" s="407">
        <v>0.18772174254027213</v>
      </c>
      <c r="M75" s="456">
        <v>42.244999999999997</v>
      </c>
      <c r="N75" s="456">
        <f t="shared" si="8"/>
        <v>0.21948119268110564</v>
      </c>
      <c r="O75" s="456">
        <f t="shared" si="9"/>
        <v>0.21938119268110565</v>
      </c>
      <c r="Q75" s="472">
        <v>43.36</v>
      </c>
      <c r="R75" s="472">
        <f t="shared" si="22"/>
        <v>4.4325973770064302E-2</v>
      </c>
      <c r="S75" s="473">
        <f t="shared" si="10"/>
        <v>4.4225973770064299E-2</v>
      </c>
      <c r="U75" s="473">
        <v>125.84</v>
      </c>
      <c r="V75" s="473">
        <f t="shared" si="23"/>
        <v>0</v>
      </c>
      <c r="W75" s="473">
        <f t="shared" si="11"/>
        <v>-1E-4</v>
      </c>
      <c r="Y75" s="473">
        <v>125.84</v>
      </c>
      <c r="Z75" s="473">
        <f t="shared" si="12"/>
        <v>0</v>
      </c>
      <c r="AA75" s="473">
        <f t="shared" si="13"/>
        <v>-1E-4</v>
      </c>
      <c r="AC75" s="473">
        <v>13.93</v>
      </c>
      <c r="AD75" s="473">
        <f t="shared" si="14"/>
        <v>8.4599616866142729E-2</v>
      </c>
      <c r="AE75" s="473">
        <f t="shared" si="15"/>
        <v>8.4499616866142727E-2</v>
      </c>
      <c r="AG75" s="473">
        <v>5.41</v>
      </c>
      <c r="AH75" s="473">
        <f t="shared" si="24"/>
        <v>5.119601339131645E-2</v>
      </c>
      <c r="AI75" s="473">
        <f t="shared" si="25"/>
        <v>5.1096013391316447E-2</v>
      </c>
      <c r="AK75" s="473">
        <v>19.497499999999999</v>
      </c>
      <c r="AL75" s="473">
        <f t="shared" si="16"/>
        <v>0.13707290816629983</v>
      </c>
      <c r="AM75" s="473">
        <f t="shared" si="17"/>
        <v>0.13697290816629984</v>
      </c>
      <c r="AP75" s="473">
        <v>1365.68</v>
      </c>
      <c r="AQ75" s="473">
        <f t="shared" si="18"/>
        <v>3.9787331386417914E-2</v>
      </c>
      <c r="AR75" s="473">
        <f t="shared" si="19"/>
        <v>3.9687331386417911E-2</v>
      </c>
      <c r="AT75" s="473">
        <v>1101.76</v>
      </c>
      <c r="AU75" s="473">
        <f t="shared" si="6"/>
        <v>6.1213625843570478E-2</v>
      </c>
      <c r="AV75" s="473">
        <f t="shared" si="20"/>
        <v>6.1113625843570475E-2</v>
      </c>
      <c r="AX75" s="473">
        <v>20390.490000000002</v>
      </c>
      <c r="AY75" s="473">
        <f t="shared" si="7"/>
        <v>0.10085067377934118</v>
      </c>
      <c r="AZ75" s="473">
        <f t="shared" si="21"/>
        <v>0.10075067377934117</v>
      </c>
    </row>
    <row r="76" spans="1:52">
      <c r="A76" s="403">
        <v>40968</v>
      </c>
      <c r="B76" s="405">
        <v>10509.87</v>
      </c>
      <c r="C76" s="402">
        <v>87.25</v>
      </c>
      <c r="D76" s="402">
        <v>59.88</v>
      </c>
      <c r="E76" s="407">
        <v>2.8734669317603208E-2</v>
      </c>
      <c r="F76" s="407">
        <v>6.1692527067878082E-2</v>
      </c>
      <c r="G76" s="407">
        <v>2.6054595111852211E-2</v>
      </c>
      <c r="H76" s="406">
        <v>1E-4</v>
      </c>
      <c r="I76" s="407">
        <v>2.8634669317603209E-2</v>
      </c>
      <c r="J76" s="407">
        <v>6.1592527067878079E-2</v>
      </c>
      <c r="K76" s="407">
        <v>2.5954595111852212E-2</v>
      </c>
      <c r="M76" s="456">
        <v>45.395000000000003</v>
      </c>
      <c r="N76" s="456">
        <f t="shared" si="8"/>
        <v>7.1915963218912568E-2</v>
      </c>
      <c r="O76" s="456">
        <f t="shared" si="9"/>
        <v>7.1815963218912565E-2</v>
      </c>
      <c r="Q76" s="472">
        <v>44.14</v>
      </c>
      <c r="R76" s="472">
        <f t="shared" si="22"/>
        <v>1.7829043697199686E-2</v>
      </c>
      <c r="S76" s="473">
        <f t="shared" si="10"/>
        <v>1.7729043697199687E-2</v>
      </c>
      <c r="U76" s="473">
        <v>125.84</v>
      </c>
      <c r="V76" s="473">
        <f t="shared" si="23"/>
        <v>0</v>
      </c>
      <c r="W76" s="473">
        <f t="shared" si="11"/>
        <v>-1E-4</v>
      </c>
      <c r="Y76" s="473">
        <v>125.84</v>
      </c>
      <c r="Z76" s="473">
        <f t="shared" si="12"/>
        <v>0</v>
      </c>
      <c r="AA76" s="473">
        <f t="shared" si="13"/>
        <v>-1E-4</v>
      </c>
      <c r="AC76" s="473">
        <v>14.62</v>
      </c>
      <c r="AD76" s="473">
        <f t="shared" si="14"/>
        <v>4.8345666529918181E-2</v>
      </c>
      <c r="AE76" s="473">
        <f t="shared" si="15"/>
        <v>4.8245666529918178E-2</v>
      </c>
      <c r="AG76" s="473">
        <v>4.96</v>
      </c>
      <c r="AH76" s="473">
        <f t="shared" si="24"/>
        <v>-8.6843352121554099E-2</v>
      </c>
      <c r="AI76" s="473">
        <f t="shared" si="25"/>
        <v>-8.6943352121554102E-2</v>
      </c>
      <c r="AK76" s="473">
        <v>22.997499999999999</v>
      </c>
      <c r="AL76" s="473">
        <f t="shared" si="16"/>
        <v>0.16509926214665924</v>
      </c>
      <c r="AM76" s="473">
        <f t="shared" si="17"/>
        <v>0.16499926214665925</v>
      </c>
      <c r="AP76" s="473">
        <v>1408.47</v>
      </c>
      <c r="AQ76" s="473">
        <f t="shared" si="18"/>
        <v>3.0851535762571346E-2</v>
      </c>
      <c r="AR76" s="473">
        <f t="shared" si="19"/>
        <v>3.0751535762571346E-2</v>
      </c>
      <c r="AT76" s="473">
        <v>1074.48</v>
      </c>
      <c r="AU76" s="473">
        <f t="shared" si="6"/>
        <v>-2.5072077549339173E-2</v>
      </c>
      <c r="AV76" s="473">
        <f t="shared" si="20"/>
        <v>-2.5172077549339172E-2</v>
      </c>
      <c r="AX76" s="473">
        <v>21680.080000000002</v>
      </c>
      <c r="AY76" s="473">
        <f t="shared" si="7"/>
        <v>6.1325250915987846E-2</v>
      </c>
      <c r="AZ76" s="473">
        <f t="shared" si="21"/>
        <v>6.1225250915987843E-2</v>
      </c>
    </row>
    <row r="77" spans="1:52">
      <c r="A77" s="403">
        <v>40998</v>
      </c>
      <c r="B77" s="405">
        <v>10853.01</v>
      </c>
      <c r="C77" s="402">
        <v>100.4</v>
      </c>
      <c r="D77" s="402">
        <v>69.03</v>
      </c>
      <c r="E77" s="407">
        <v>3.2127645227529436E-2</v>
      </c>
      <c r="F77" s="407">
        <v>0.14038464617509225</v>
      </c>
      <c r="G77" s="407">
        <v>0.14219863316395664</v>
      </c>
      <c r="H77" s="406">
        <v>1E-4</v>
      </c>
      <c r="I77" s="407">
        <v>3.2027645227529433E-2</v>
      </c>
      <c r="J77" s="407">
        <v>0.14028464617509226</v>
      </c>
      <c r="K77" s="407">
        <v>0.14209863316395666</v>
      </c>
      <c r="M77" s="456">
        <v>45.21</v>
      </c>
      <c r="N77" s="456">
        <f t="shared" si="8"/>
        <v>-4.083665517206808E-3</v>
      </c>
      <c r="O77" s="456">
        <f t="shared" si="9"/>
        <v>-4.1836655172068082E-3</v>
      </c>
      <c r="Q77" s="472">
        <v>40.479999999999997</v>
      </c>
      <c r="R77" s="472">
        <f t="shared" si="22"/>
        <v>-8.6558375849380323E-2</v>
      </c>
      <c r="S77" s="473">
        <f t="shared" si="10"/>
        <v>-8.6658375849380326E-2</v>
      </c>
      <c r="U77" s="473">
        <v>125.84</v>
      </c>
      <c r="V77" s="473">
        <f t="shared" si="23"/>
        <v>0</v>
      </c>
      <c r="W77" s="473">
        <f t="shared" si="11"/>
        <v>-1E-4</v>
      </c>
      <c r="Y77" s="473">
        <v>125.84</v>
      </c>
      <c r="Z77" s="473">
        <f t="shared" si="12"/>
        <v>0</v>
      </c>
      <c r="AA77" s="473">
        <f t="shared" si="13"/>
        <v>-1E-4</v>
      </c>
      <c r="AC77" s="473">
        <v>13.47</v>
      </c>
      <c r="AD77" s="473">
        <f t="shared" si="14"/>
        <v>-8.1925463899359771E-2</v>
      </c>
      <c r="AE77" s="473">
        <f t="shared" si="15"/>
        <v>-8.2025463899359774E-2</v>
      </c>
      <c r="AG77" s="473">
        <v>5.31</v>
      </c>
      <c r="AH77" s="473">
        <f t="shared" si="24"/>
        <v>6.8186094517011339E-2</v>
      </c>
      <c r="AI77" s="473">
        <f t="shared" si="25"/>
        <v>6.8086094517011336E-2</v>
      </c>
      <c r="AK77" s="473">
        <v>23.864999999999998</v>
      </c>
      <c r="AL77" s="473">
        <f t="shared" si="16"/>
        <v>3.7027436088684508E-2</v>
      </c>
      <c r="AM77" s="473">
        <f t="shared" si="17"/>
        <v>3.6927436088684505E-2</v>
      </c>
      <c r="AP77" s="473">
        <v>1397.91</v>
      </c>
      <c r="AQ77" s="473">
        <f t="shared" si="18"/>
        <v>-7.5257447960486246E-3</v>
      </c>
      <c r="AR77" s="473">
        <f t="shared" si="19"/>
        <v>-7.6257447960486249E-3</v>
      </c>
      <c r="AT77" s="473">
        <v>1059.6199999999999</v>
      </c>
      <c r="AU77" s="473">
        <f t="shared" si="6"/>
        <v>-1.3926470333849085E-2</v>
      </c>
      <c r="AV77" s="473">
        <f t="shared" si="20"/>
        <v>-1.4026470333849085E-2</v>
      </c>
      <c r="AX77" s="473">
        <v>20555.580000000002</v>
      </c>
      <c r="AY77" s="473">
        <f t="shared" si="7"/>
        <v>-5.3261429670950135E-2</v>
      </c>
      <c r="AZ77" s="473">
        <f t="shared" si="21"/>
        <v>-5.3361429670950138E-2</v>
      </c>
    </row>
    <row r="78" spans="1:52">
      <c r="A78" s="403">
        <v>41029</v>
      </c>
      <c r="B78" s="405">
        <v>10850.14</v>
      </c>
      <c r="C78" s="402">
        <v>92.98</v>
      </c>
      <c r="D78" s="402">
        <v>82.55</v>
      </c>
      <c r="E78" s="407">
        <v>-2.6447773864440112E-4</v>
      </c>
      <c r="F78" s="407">
        <v>-7.6777790995190165E-2</v>
      </c>
      <c r="G78" s="407">
        <v>0.17886297765075285</v>
      </c>
      <c r="H78" s="406">
        <v>1E-4</v>
      </c>
      <c r="I78" s="407">
        <v>-3.6447773864440111E-4</v>
      </c>
      <c r="J78" s="407">
        <v>-7.6877790995190168E-2</v>
      </c>
      <c r="K78" s="407">
        <v>0.17876297765075286</v>
      </c>
      <c r="M78" s="456">
        <v>41.765000000000001</v>
      </c>
      <c r="N78" s="456">
        <f t="shared" si="8"/>
        <v>-7.9259633098644186E-2</v>
      </c>
      <c r="O78" s="456">
        <f t="shared" si="9"/>
        <v>-7.9359633098644189E-2</v>
      </c>
      <c r="Q78" s="472">
        <v>35.590000000000003</v>
      </c>
      <c r="R78" s="472">
        <f t="shared" si="22"/>
        <v>-0.12874332545710868</v>
      </c>
      <c r="S78" s="473">
        <f t="shared" si="10"/>
        <v>-0.12884332545710867</v>
      </c>
      <c r="U78" s="473">
        <v>125.84</v>
      </c>
      <c r="V78" s="473">
        <f t="shared" si="23"/>
        <v>0</v>
      </c>
      <c r="W78" s="473">
        <f t="shared" si="11"/>
        <v>-1E-4</v>
      </c>
      <c r="Y78" s="473">
        <v>125.84</v>
      </c>
      <c r="Z78" s="473">
        <f t="shared" si="12"/>
        <v>0</v>
      </c>
      <c r="AA78" s="473">
        <f t="shared" si="13"/>
        <v>-1E-4</v>
      </c>
      <c r="AC78" s="473">
        <v>14.7</v>
      </c>
      <c r="AD78" s="473">
        <f t="shared" si="14"/>
        <v>8.7382503362417943E-2</v>
      </c>
      <c r="AE78" s="473">
        <f t="shared" si="15"/>
        <v>8.728250336241794E-2</v>
      </c>
      <c r="AG78" s="473">
        <v>4.17</v>
      </c>
      <c r="AH78" s="473">
        <f t="shared" si="24"/>
        <v>-0.24167579944313727</v>
      </c>
      <c r="AI78" s="473">
        <f t="shared" si="25"/>
        <v>-0.24177579944313726</v>
      </c>
      <c r="AK78" s="473">
        <v>23.864999999999998</v>
      </c>
      <c r="AL78" s="473">
        <f t="shared" si="16"/>
        <v>0</v>
      </c>
      <c r="AM78" s="473">
        <f t="shared" si="17"/>
        <v>-1E-4</v>
      </c>
      <c r="AP78" s="473">
        <v>1310.33</v>
      </c>
      <c r="AQ78" s="473">
        <f t="shared" si="18"/>
        <v>-6.4699250170469236E-2</v>
      </c>
      <c r="AR78" s="473">
        <f t="shared" si="19"/>
        <v>-6.4799250170469239E-2</v>
      </c>
      <c r="AT78" s="473">
        <v>975.98</v>
      </c>
      <c r="AU78" s="473">
        <f t="shared" si="6"/>
        <v>-8.2223537867116697E-2</v>
      </c>
      <c r="AV78" s="473">
        <f t="shared" si="20"/>
        <v>-8.23235378671167E-2</v>
      </c>
      <c r="AX78" s="473">
        <v>21094.21</v>
      </c>
      <c r="AY78" s="473">
        <f t="shared" si="7"/>
        <v>2.5866158311845026E-2</v>
      </c>
      <c r="AZ78" s="473">
        <f t="shared" si="21"/>
        <v>2.5766158311845026E-2</v>
      </c>
    </row>
    <row r="79" spans="1:52">
      <c r="A79" s="403">
        <v>41060</v>
      </c>
      <c r="B79" s="405">
        <v>9715.52</v>
      </c>
      <c r="C79" s="402">
        <v>77.94</v>
      </c>
      <c r="D79" s="402">
        <v>76.95</v>
      </c>
      <c r="E79" s="407">
        <v>-0.11045337625599484</v>
      </c>
      <c r="F79" s="407">
        <v>-0.1764451163518756</v>
      </c>
      <c r="G79" s="407">
        <v>-7.0248310081248724E-2</v>
      </c>
      <c r="H79" s="406">
        <v>1E-4</v>
      </c>
      <c r="I79" s="407">
        <v>-0.11055337625599485</v>
      </c>
      <c r="J79" s="407">
        <v>-0.17654511635187559</v>
      </c>
      <c r="K79" s="407">
        <v>-7.0348310081248727E-2</v>
      </c>
      <c r="M79" s="456">
        <v>37.43</v>
      </c>
      <c r="N79" s="456">
        <f t="shared" si="8"/>
        <v>-0.10958614629153206</v>
      </c>
      <c r="O79" s="456">
        <f t="shared" si="9"/>
        <v>-0.10968614629153206</v>
      </c>
      <c r="Q79" s="472">
        <v>37.130000000000003</v>
      </c>
      <c r="R79" s="472">
        <f t="shared" si="22"/>
        <v>4.2360568666887435E-2</v>
      </c>
      <c r="S79" s="473">
        <f t="shared" si="10"/>
        <v>4.2260568666887433E-2</v>
      </c>
      <c r="U79" s="473">
        <v>129.13999999999999</v>
      </c>
      <c r="V79" s="473">
        <f t="shared" si="23"/>
        <v>2.588582844829836E-2</v>
      </c>
      <c r="W79" s="473">
        <f t="shared" si="11"/>
        <v>2.578582844829836E-2</v>
      </c>
      <c r="Y79" s="473">
        <v>129.13999999999999</v>
      </c>
      <c r="Z79" s="473">
        <f t="shared" si="12"/>
        <v>2.588582844829836E-2</v>
      </c>
      <c r="AA79" s="473">
        <f t="shared" si="13"/>
        <v>2.578582844829836E-2</v>
      </c>
      <c r="AC79" s="473">
        <v>12.68</v>
      </c>
      <c r="AD79" s="473">
        <f t="shared" si="14"/>
        <v>-0.14782154477561077</v>
      </c>
      <c r="AE79" s="473">
        <f t="shared" si="15"/>
        <v>-0.14792154477561076</v>
      </c>
      <c r="AG79" s="473">
        <v>3.97</v>
      </c>
      <c r="AH79" s="473">
        <f t="shared" si="24"/>
        <v>-4.9149941111610952E-2</v>
      </c>
      <c r="AI79" s="473">
        <f t="shared" si="25"/>
        <v>-4.9249941111610955E-2</v>
      </c>
      <c r="AK79" s="473">
        <v>22.74</v>
      </c>
      <c r="AL79" s="473">
        <f t="shared" si="16"/>
        <v>-4.828746213546993E-2</v>
      </c>
      <c r="AM79" s="473">
        <f t="shared" si="17"/>
        <v>-4.8387462135469933E-2</v>
      </c>
      <c r="AP79" s="473">
        <v>1362.16</v>
      </c>
      <c r="AQ79" s="473">
        <f t="shared" si="18"/>
        <v>3.8792661243837456E-2</v>
      </c>
      <c r="AR79" s="473">
        <f t="shared" si="19"/>
        <v>3.8692661243837453E-2</v>
      </c>
      <c r="AT79" s="473">
        <v>1019.06</v>
      </c>
      <c r="AU79" s="473">
        <f t="shared" si="6"/>
        <v>4.3193818345571101E-2</v>
      </c>
      <c r="AV79" s="473">
        <f t="shared" si="20"/>
        <v>4.3093818345571099E-2</v>
      </c>
      <c r="AX79" s="473">
        <v>18629.52</v>
      </c>
      <c r="AY79" s="473">
        <f t="shared" si="7"/>
        <v>-0.12425117585618622</v>
      </c>
      <c r="AZ79" s="473">
        <f t="shared" si="21"/>
        <v>-0.12435117585618623</v>
      </c>
    </row>
    <row r="80" spans="1:52">
      <c r="A80" s="403">
        <v>41089</v>
      </c>
      <c r="B80" s="405">
        <v>10644.7</v>
      </c>
      <c r="C80" s="402">
        <v>82.55</v>
      </c>
      <c r="D80" s="402">
        <v>78.58</v>
      </c>
      <c r="E80" s="407">
        <v>9.1337508830096087E-2</v>
      </c>
      <c r="F80" s="407">
        <v>5.7464870455573795E-2</v>
      </c>
      <c r="G80" s="407">
        <v>2.0961353845425353E-2</v>
      </c>
      <c r="H80" s="406">
        <v>1E-4</v>
      </c>
      <c r="I80" s="407">
        <v>9.1237508830096084E-2</v>
      </c>
      <c r="J80" s="407">
        <v>5.7364870455573792E-2</v>
      </c>
      <c r="K80" s="407">
        <v>2.0861353845425354E-2</v>
      </c>
      <c r="M80" s="456">
        <v>35.344999999999999</v>
      </c>
      <c r="N80" s="456">
        <f t="shared" si="8"/>
        <v>-5.731558229342025E-2</v>
      </c>
      <c r="O80" s="456">
        <f t="shared" si="9"/>
        <v>-5.7415582293420253E-2</v>
      </c>
      <c r="Q80" s="472">
        <v>37.9</v>
      </c>
      <c r="R80" s="472">
        <f t="shared" si="22"/>
        <v>2.0525843899391785E-2</v>
      </c>
      <c r="S80" s="473">
        <f t="shared" si="10"/>
        <v>2.0425843899391786E-2</v>
      </c>
      <c r="U80" s="473">
        <v>129.13999999999999</v>
      </c>
      <c r="V80" s="473">
        <f t="shared" si="23"/>
        <v>0</v>
      </c>
      <c r="W80" s="473">
        <f t="shared" si="11"/>
        <v>-1E-4</v>
      </c>
      <c r="Y80" s="473">
        <v>129.13999999999999</v>
      </c>
      <c r="Z80" s="473">
        <f t="shared" si="12"/>
        <v>0</v>
      </c>
      <c r="AA80" s="473">
        <f t="shared" si="13"/>
        <v>-1E-4</v>
      </c>
      <c r="AC80" s="473">
        <v>11.6</v>
      </c>
      <c r="AD80" s="473">
        <f t="shared" si="14"/>
        <v>-8.9020850896760928E-2</v>
      </c>
      <c r="AE80" s="473">
        <f t="shared" si="15"/>
        <v>-8.9120850896760931E-2</v>
      </c>
      <c r="AG80" s="473">
        <v>3.01</v>
      </c>
      <c r="AH80" s="473">
        <f t="shared" si="24"/>
        <v>-0.27682601593831485</v>
      </c>
      <c r="AI80" s="473">
        <f t="shared" si="25"/>
        <v>-0.27692601593831484</v>
      </c>
      <c r="AK80" s="473">
        <v>24.3</v>
      </c>
      <c r="AL80" s="473">
        <f t="shared" si="16"/>
        <v>6.6350862024112861E-2</v>
      </c>
      <c r="AM80" s="473">
        <f t="shared" si="17"/>
        <v>6.6250862024112858E-2</v>
      </c>
      <c r="AP80" s="473">
        <v>1379.32</v>
      </c>
      <c r="AQ80" s="473">
        <f t="shared" si="18"/>
        <v>1.2518948972710817E-2</v>
      </c>
      <c r="AR80" s="473">
        <f t="shared" si="19"/>
        <v>1.2418948972710817E-2</v>
      </c>
      <c r="AT80" s="473">
        <v>1068.1600000000001</v>
      </c>
      <c r="AU80" s="473">
        <f t="shared" si="6"/>
        <v>4.7056908287990529E-2</v>
      </c>
      <c r="AV80" s="473">
        <f t="shared" si="20"/>
        <v>4.6956908287990526E-2</v>
      </c>
      <c r="AX80" s="473">
        <v>19441.46</v>
      </c>
      <c r="AY80" s="473">
        <f t="shared" si="7"/>
        <v>4.2660479706624864E-2</v>
      </c>
      <c r="AZ80" s="473">
        <f t="shared" si="21"/>
        <v>4.2560479706624861E-2</v>
      </c>
    </row>
    <row r="81" spans="1:52">
      <c r="A81" s="403">
        <v>41121</v>
      </c>
      <c r="B81" s="405">
        <v>10674.74</v>
      </c>
      <c r="C81" s="402">
        <v>74.03</v>
      </c>
      <c r="D81" s="402">
        <v>74.680000000000007</v>
      </c>
      <c r="E81" s="407">
        <v>2.8180871430492759E-3</v>
      </c>
      <c r="F81" s="407">
        <v>-0.10893375391112994</v>
      </c>
      <c r="G81" s="407">
        <v>-5.0904895456791721E-2</v>
      </c>
      <c r="H81" s="406">
        <v>1E-4</v>
      </c>
      <c r="I81" s="407">
        <v>2.7180871430492761E-3</v>
      </c>
      <c r="J81" s="407">
        <v>-0.10903375391112995</v>
      </c>
      <c r="K81" s="407">
        <v>-5.1004895456791724E-2</v>
      </c>
      <c r="M81" s="456">
        <v>40.71</v>
      </c>
      <c r="N81" s="456">
        <f t="shared" si="8"/>
        <v>0.14131682289197009</v>
      </c>
      <c r="O81" s="456">
        <f t="shared" si="9"/>
        <v>0.1412168228919701</v>
      </c>
      <c r="Q81" s="472">
        <v>37.99</v>
      </c>
      <c r="R81" s="472">
        <f t="shared" si="22"/>
        <v>2.3718551111536947E-3</v>
      </c>
      <c r="S81" s="473">
        <f t="shared" si="10"/>
        <v>2.2718551111536949E-3</v>
      </c>
      <c r="U81" s="473">
        <v>129.13999999999999</v>
      </c>
      <c r="V81" s="473">
        <f t="shared" si="23"/>
        <v>0</v>
      </c>
      <c r="W81" s="473">
        <f t="shared" si="11"/>
        <v>-1E-4</v>
      </c>
      <c r="Y81" s="473">
        <v>129.13999999999999</v>
      </c>
      <c r="Z81" s="473">
        <f t="shared" si="12"/>
        <v>0</v>
      </c>
      <c r="AA81" s="473">
        <f t="shared" si="13"/>
        <v>-1E-4</v>
      </c>
      <c r="AC81" s="473">
        <v>10.54</v>
      </c>
      <c r="AD81" s="473">
        <f t="shared" si="14"/>
        <v>-9.5827554999102713E-2</v>
      </c>
      <c r="AE81" s="473">
        <f t="shared" si="15"/>
        <v>-9.5927554999102715E-2</v>
      </c>
      <c r="AG81" s="473">
        <v>2.94</v>
      </c>
      <c r="AH81" s="473">
        <f t="shared" si="24"/>
        <v>-2.3530497410194046E-2</v>
      </c>
      <c r="AI81" s="473">
        <f t="shared" si="25"/>
        <v>-2.3630497410194046E-2</v>
      </c>
      <c r="AK81" s="473">
        <v>27.16</v>
      </c>
      <c r="AL81" s="473">
        <f t="shared" si="16"/>
        <v>0.11126895234399251</v>
      </c>
      <c r="AM81" s="473">
        <f t="shared" si="17"/>
        <v>0.1111689523439925</v>
      </c>
      <c r="AP81" s="473">
        <v>1406.58</v>
      </c>
      <c r="AQ81" s="473">
        <f t="shared" si="18"/>
        <v>1.9570602004381984E-2</v>
      </c>
      <c r="AR81" s="473">
        <f t="shared" si="19"/>
        <v>1.9470602004381984E-2</v>
      </c>
      <c r="AT81" s="473">
        <v>1043.93</v>
      </c>
      <c r="AU81" s="473">
        <f t="shared" si="6"/>
        <v>-2.294510464719951E-2</v>
      </c>
      <c r="AV81" s="473">
        <f t="shared" si="20"/>
        <v>-2.304510464719951E-2</v>
      </c>
      <c r="AX81" s="473">
        <v>19796.810000000001</v>
      </c>
      <c r="AY81" s="473">
        <f t="shared" si="7"/>
        <v>1.8112914516718065E-2</v>
      </c>
      <c r="AZ81" s="473">
        <f t="shared" si="21"/>
        <v>1.8012914516718066E-2</v>
      </c>
    </row>
    <row r="82" spans="1:52">
      <c r="A82" s="403">
        <v>41152</v>
      </c>
      <c r="B82" s="405">
        <v>10898.95</v>
      </c>
      <c r="C82" s="402">
        <v>70.760000000000005</v>
      </c>
      <c r="D82" s="402">
        <v>68.790000000000006</v>
      </c>
      <c r="E82" s="407">
        <v>2.0786251473629988E-2</v>
      </c>
      <c r="F82" s="407">
        <v>-4.5176547163422377E-2</v>
      </c>
      <c r="G82" s="407">
        <v>-8.2153933135599114E-2</v>
      </c>
      <c r="H82" s="406">
        <v>1E-4</v>
      </c>
      <c r="I82" s="407">
        <v>2.0686251473629989E-2</v>
      </c>
      <c r="J82" s="407">
        <v>-4.527654716342238E-2</v>
      </c>
      <c r="K82" s="407">
        <v>-8.2253933135599117E-2</v>
      </c>
      <c r="M82" s="456">
        <v>39</v>
      </c>
      <c r="N82" s="456">
        <f t="shared" si="8"/>
        <v>-4.2912116385241006E-2</v>
      </c>
      <c r="O82" s="456">
        <f t="shared" si="9"/>
        <v>-4.3012116385241009E-2</v>
      </c>
      <c r="Q82" s="472">
        <v>38.1</v>
      </c>
      <c r="R82" s="472">
        <f t="shared" si="22"/>
        <v>2.8913149331210018E-3</v>
      </c>
      <c r="S82" s="473">
        <f t="shared" si="10"/>
        <v>2.7913149331210019E-3</v>
      </c>
      <c r="U82" s="473">
        <v>129.13999999999999</v>
      </c>
      <c r="V82" s="473">
        <f t="shared" si="23"/>
        <v>0</v>
      </c>
      <c r="W82" s="473">
        <f t="shared" si="11"/>
        <v>-1E-4</v>
      </c>
      <c r="Y82" s="473">
        <v>129.13999999999999</v>
      </c>
      <c r="Z82" s="473">
        <f t="shared" si="12"/>
        <v>0</v>
      </c>
      <c r="AA82" s="473">
        <f t="shared" si="13"/>
        <v>-1E-4</v>
      </c>
      <c r="AC82" s="473">
        <v>9.7799999999999994</v>
      </c>
      <c r="AD82" s="473">
        <f t="shared" si="14"/>
        <v>-7.4838059066490339E-2</v>
      </c>
      <c r="AE82" s="473">
        <f t="shared" si="15"/>
        <v>-7.4938059066490342E-2</v>
      </c>
      <c r="AG82" s="473">
        <v>3.47</v>
      </c>
      <c r="AH82" s="473">
        <f t="shared" si="24"/>
        <v>0.16574501260817764</v>
      </c>
      <c r="AI82" s="473">
        <f t="shared" si="25"/>
        <v>0.16564501260817766</v>
      </c>
      <c r="AK82" s="473">
        <v>26.164999999999999</v>
      </c>
      <c r="AL82" s="473">
        <f t="shared" si="16"/>
        <v>-3.7322662866324338E-2</v>
      </c>
      <c r="AM82" s="473">
        <f t="shared" si="17"/>
        <v>-3.7422662866324341E-2</v>
      </c>
      <c r="AP82" s="473">
        <v>1440.67</v>
      </c>
      <c r="AQ82" s="473">
        <f t="shared" si="18"/>
        <v>2.394705705020073E-2</v>
      </c>
      <c r="AR82" s="473">
        <f t="shared" si="19"/>
        <v>2.384705705020073E-2</v>
      </c>
      <c r="AT82" s="473">
        <v>1072.45</v>
      </c>
      <c r="AU82" s="473">
        <f t="shared" si="6"/>
        <v>2.6953313282587835E-2</v>
      </c>
      <c r="AV82" s="473">
        <f t="shared" si="20"/>
        <v>2.6853313282587835E-2</v>
      </c>
      <c r="AX82" s="473">
        <v>19482.57</v>
      </c>
      <c r="AY82" s="473">
        <f t="shared" si="7"/>
        <v>-1.6000593912416775E-2</v>
      </c>
      <c r="AZ82" s="473">
        <f t="shared" si="21"/>
        <v>-1.6100593912416774E-2</v>
      </c>
    </row>
    <row r="83" spans="1:52">
      <c r="A83" s="403">
        <v>41180</v>
      </c>
      <c r="B83" s="405">
        <v>11150.93</v>
      </c>
      <c r="C83" s="402">
        <v>72.39</v>
      </c>
      <c r="D83" s="402">
        <v>65.75</v>
      </c>
      <c r="E83" s="407">
        <v>2.285644817980699E-2</v>
      </c>
      <c r="F83" s="407">
        <v>2.2774299013465438E-2</v>
      </c>
      <c r="G83" s="407">
        <v>-4.519871448004889E-2</v>
      </c>
      <c r="H83" s="406">
        <v>1E-4</v>
      </c>
      <c r="I83" s="407">
        <v>2.2756448179806991E-2</v>
      </c>
      <c r="J83" s="407">
        <v>2.2674299013465439E-2</v>
      </c>
      <c r="K83" s="407">
        <v>-4.5298714480048893E-2</v>
      </c>
      <c r="M83" s="456">
        <v>37.664999999999999</v>
      </c>
      <c r="N83" s="456">
        <f t="shared" si="8"/>
        <v>-3.4830364851988461E-2</v>
      </c>
      <c r="O83" s="456">
        <f t="shared" si="9"/>
        <v>-3.4930364851988464E-2</v>
      </c>
      <c r="Q83" s="472">
        <v>41.29</v>
      </c>
      <c r="R83" s="472">
        <f t="shared" si="22"/>
        <v>8.0406057765343472E-2</v>
      </c>
      <c r="S83" s="473">
        <f t="shared" si="10"/>
        <v>8.0306057765343469E-2</v>
      </c>
      <c r="U83" s="473">
        <v>129.13999999999999</v>
      </c>
      <c r="V83" s="473">
        <f t="shared" si="23"/>
        <v>0</v>
      </c>
      <c r="W83" s="473">
        <f t="shared" si="11"/>
        <v>-1E-4</v>
      </c>
      <c r="Y83" s="473">
        <v>129.13999999999999</v>
      </c>
      <c r="Z83" s="473">
        <f t="shared" si="12"/>
        <v>0</v>
      </c>
      <c r="AA83" s="473">
        <f t="shared" si="13"/>
        <v>-1E-4</v>
      </c>
      <c r="AC83" s="473">
        <v>8.82</v>
      </c>
      <c r="AD83" s="473">
        <f t="shared" si="14"/>
        <v>-0.1033176140280259</v>
      </c>
      <c r="AE83" s="473">
        <f t="shared" si="15"/>
        <v>-0.10341761402802591</v>
      </c>
      <c r="AG83" s="473">
        <v>3.35</v>
      </c>
      <c r="AH83" s="473">
        <f t="shared" si="24"/>
        <v>-3.5194248121792809E-2</v>
      </c>
      <c r="AI83" s="473">
        <f t="shared" si="25"/>
        <v>-3.5294248121792812E-2</v>
      </c>
      <c r="AK83" s="473">
        <v>25.914999999999999</v>
      </c>
      <c r="AL83" s="473">
        <f t="shared" si="16"/>
        <v>-9.600688182501314E-3</v>
      </c>
      <c r="AM83" s="473">
        <f t="shared" si="17"/>
        <v>-9.7006881825013134E-3</v>
      </c>
      <c r="AP83" s="473">
        <v>1412.16</v>
      </c>
      <c r="AQ83" s="473">
        <f t="shared" si="18"/>
        <v>-1.9987836058499683E-2</v>
      </c>
      <c r="AR83" s="473">
        <f t="shared" si="19"/>
        <v>-2.0087836058499682E-2</v>
      </c>
      <c r="AT83" s="473">
        <v>1052.1099999999999</v>
      </c>
      <c r="AU83" s="473">
        <f t="shared" si="6"/>
        <v>-1.9148079099808188E-2</v>
      </c>
      <c r="AV83" s="473">
        <f t="shared" si="20"/>
        <v>-1.9248079099808187E-2</v>
      </c>
      <c r="AX83" s="473">
        <v>20840.38</v>
      </c>
      <c r="AY83" s="473">
        <f t="shared" si="7"/>
        <v>6.7372231186820619E-2</v>
      </c>
      <c r="AZ83" s="473">
        <f t="shared" si="21"/>
        <v>6.7272231186820616E-2</v>
      </c>
    </row>
    <row r="84" spans="1:52">
      <c r="A84" s="403">
        <v>41213</v>
      </c>
      <c r="B84" s="405">
        <v>11626.08</v>
      </c>
      <c r="C84" s="402">
        <v>79.28</v>
      </c>
      <c r="D84" s="402">
        <v>71</v>
      </c>
      <c r="E84" s="407">
        <v>4.1727947884372278E-2</v>
      </c>
      <c r="F84" s="407">
        <v>9.0917721716682429E-2</v>
      </c>
      <c r="G84" s="407">
        <v>7.68202059834414E-2</v>
      </c>
      <c r="H84" s="406">
        <v>1E-4</v>
      </c>
      <c r="I84" s="407">
        <v>4.1627947884372275E-2</v>
      </c>
      <c r="J84" s="407">
        <v>9.0817721716682426E-2</v>
      </c>
      <c r="K84" s="407">
        <v>7.6720205983441397E-2</v>
      </c>
      <c r="M84" s="456">
        <v>36.024999999999999</v>
      </c>
      <c r="N84" s="456">
        <f t="shared" si="8"/>
        <v>-4.4518139392072262E-2</v>
      </c>
      <c r="O84" s="456">
        <f t="shared" si="9"/>
        <v>-4.4618139392072265E-2</v>
      </c>
      <c r="Q84" s="472">
        <v>42.03</v>
      </c>
      <c r="R84" s="472">
        <f t="shared" si="22"/>
        <v>1.7763309119026568E-2</v>
      </c>
      <c r="S84" s="473">
        <f t="shared" si="10"/>
        <v>1.7663309119026568E-2</v>
      </c>
      <c r="U84" s="473">
        <v>129.13999999999999</v>
      </c>
      <c r="V84" s="473">
        <f t="shared" si="23"/>
        <v>0</v>
      </c>
      <c r="W84" s="473">
        <f t="shared" si="11"/>
        <v>-1E-4</v>
      </c>
      <c r="Y84" s="473">
        <v>129.13999999999999</v>
      </c>
      <c r="Z84" s="473">
        <f t="shared" si="12"/>
        <v>0</v>
      </c>
      <c r="AA84" s="473">
        <f t="shared" si="13"/>
        <v>-1E-4</v>
      </c>
      <c r="AC84" s="473">
        <v>9.35</v>
      </c>
      <c r="AD84" s="473">
        <f t="shared" si="14"/>
        <v>5.8354473281895587E-2</v>
      </c>
      <c r="AE84" s="473">
        <f t="shared" si="15"/>
        <v>5.8254473281895584E-2</v>
      </c>
      <c r="AG84" s="473">
        <v>3.11</v>
      </c>
      <c r="AH84" s="473">
        <f t="shared" si="24"/>
        <v>-7.4337619645832381E-2</v>
      </c>
      <c r="AI84" s="473">
        <f t="shared" si="25"/>
        <v>-7.4437619645832384E-2</v>
      </c>
      <c r="AK84" s="473">
        <v>28.88</v>
      </c>
      <c r="AL84" s="473">
        <f t="shared" si="16"/>
        <v>0.10832736238295558</v>
      </c>
      <c r="AM84" s="473">
        <f t="shared" si="17"/>
        <v>0.10822736238295558</v>
      </c>
      <c r="AP84" s="473">
        <v>1416.18</v>
      </c>
      <c r="AQ84" s="473">
        <f t="shared" si="18"/>
        <v>2.8426587376603443E-3</v>
      </c>
      <c r="AR84" s="473">
        <f t="shared" si="19"/>
        <v>2.7426587376603445E-3</v>
      </c>
      <c r="AT84" s="473">
        <v>1085.8499999999999</v>
      </c>
      <c r="AU84" s="473">
        <f t="shared" si="6"/>
        <v>3.1565418838264317E-2</v>
      </c>
      <c r="AV84" s="473">
        <f t="shared" si="20"/>
        <v>3.1465418838264314E-2</v>
      </c>
      <c r="AX84" s="473">
        <v>21641.82</v>
      </c>
      <c r="AY84" s="473">
        <f t="shared" si="7"/>
        <v>3.7735103069800519E-2</v>
      </c>
      <c r="AZ84" s="473">
        <f t="shared" si="21"/>
        <v>3.7635103069800516E-2</v>
      </c>
    </row>
    <row r="85" spans="1:52">
      <c r="A85" s="403">
        <v>41243</v>
      </c>
      <c r="B85" s="405">
        <v>11615.71</v>
      </c>
      <c r="C85" s="402">
        <v>80.02</v>
      </c>
      <c r="D85" s="402">
        <v>75.5</v>
      </c>
      <c r="E85" s="407">
        <v>-8.923581779320029E-4</v>
      </c>
      <c r="F85" s="407">
        <v>9.2907134073564237E-3</v>
      </c>
      <c r="G85" s="407">
        <v>6.1452779213663516E-2</v>
      </c>
      <c r="H85" s="406">
        <v>1E-4</v>
      </c>
      <c r="I85" s="407">
        <v>-9.9235817793200294E-4</v>
      </c>
      <c r="J85" s="407">
        <v>9.1907134073564243E-3</v>
      </c>
      <c r="K85" s="407">
        <v>6.1352779213663514E-2</v>
      </c>
      <c r="M85" s="456">
        <v>37.979999999999997</v>
      </c>
      <c r="N85" s="456">
        <f t="shared" si="8"/>
        <v>5.2846563498554065E-2</v>
      </c>
      <c r="O85" s="456">
        <f t="shared" si="9"/>
        <v>5.2746563498554062E-2</v>
      </c>
      <c r="Q85" s="472">
        <v>43.24</v>
      </c>
      <c r="R85" s="472">
        <f t="shared" si="22"/>
        <v>2.8382343753982246E-2</v>
      </c>
      <c r="S85" s="473">
        <f t="shared" si="10"/>
        <v>2.8282343753982246E-2</v>
      </c>
      <c r="U85" s="473">
        <v>129.13999999999999</v>
      </c>
      <c r="V85" s="473">
        <f t="shared" si="23"/>
        <v>0</v>
      </c>
      <c r="W85" s="473">
        <f t="shared" si="11"/>
        <v>-1E-4</v>
      </c>
      <c r="Y85" s="473">
        <v>129.13999999999999</v>
      </c>
      <c r="Z85" s="473">
        <f t="shared" si="12"/>
        <v>0</v>
      </c>
      <c r="AA85" s="473">
        <f t="shared" si="13"/>
        <v>-1E-4</v>
      </c>
      <c r="AC85" s="473">
        <v>10.62</v>
      </c>
      <c r="AD85" s="473">
        <f t="shared" si="14"/>
        <v>0.12736267251319708</v>
      </c>
      <c r="AE85" s="473">
        <f t="shared" si="15"/>
        <v>0.12726267251319709</v>
      </c>
      <c r="AG85" s="473">
        <v>3.51</v>
      </c>
      <c r="AH85" s="473">
        <f t="shared" si="24"/>
        <v>0.12099331128663172</v>
      </c>
      <c r="AI85" s="473">
        <f t="shared" si="25"/>
        <v>0.12089331128663172</v>
      </c>
      <c r="AK85" s="473">
        <v>32.049999999999997</v>
      </c>
      <c r="AL85" s="473">
        <f t="shared" si="16"/>
        <v>0.1041478693420536</v>
      </c>
      <c r="AM85" s="473">
        <f t="shared" si="17"/>
        <v>0.10404786934205359</v>
      </c>
      <c r="AP85" s="473">
        <v>1426.19</v>
      </c>
      <c r="AQ85" s="473">
        <f t="shared" si="18"/>
        <v>7.0434471114575181E-3</v>
      </c>
      <c r="AR85" s="473">
        <f t="shared" si="19"/>
        <v>6.9434471114575179E-3</v>
      </c>
      <c r="AT85" s="473">
        <v>1104.73</v>
      </c>
      <c r="AU85" s="473">
        <f t="shared" si="6"/>
        <v>1.7237870796358173E-2</v>
      </c>
      <c r="AV85" s="473">
        <f t="shared" si="20"/>
        <v>1.7137870796358173E-2</v>
      </c>
      <c r="AX85" s="473">
        <v>22030.39</v>
      </c>
      <c r="AY85" s="473">
        <f t="shared" si="7"/>
        <v>1.7795309835852348E-2</v>
      </c>
      <c r="AZ85" s="473">
        <f t="shared" si="21"/>
        <v>1.7695309835852348E-2</v>
      </c>
    </row>
    <row r="86" spans="1:52">
      <c r="A86" s="403">
        <v>41271</v>
      </c>
      <c r="B86" s="405">
        <v>12149.37</v>
      </c>
      <c r="C86" s="402">
        <v>83.05</v>
      </c>
      <c r="D86" s="402">
        <v>75.5</v>
      </c>
      <c r="E86" s="407">
        <v>4.4918824384295002E-2</v>
      </c>
      <c r="F86" s="407">
        <v>3.7166232630214895E-2</v>
      </c>
      <c r="G86" s="407">
        <v>0</v>
      </c>
      <c r="H86" s="406">
        <v>1E-4</v>
      </c>
      <c r="I86" s="407">
        <v>4.4818824384294999E-2</v>
      </c>
      <c r="J86" s="407">
        <v>3.7066232630214892E-2</v>
      </c>
      <c r="K86" s="407">
        <v>-1E-4</v>
      </c>
      <c r="M86" s="456">
        <v>41.32</v>
      </c>
      <c r="N86" s="456">
        <f t="shared" si="8"/>
        <v>8.4286938867297989E-2</v>
      </c>
      <c r="O86" s="456">
        <f t="shared" si="9"/>
        <v>8.4186938867297986E-2</v>
      </c>
      <c r="Q86" s="472">
        <v>45.01</v>
      </c>
      <c r="R86" s="472">
        <f t="shared" si="22"/>
        <v>4.0118694533833793E-2</v>
      </c>
      <c r="S86" s="473">
        <f t="shared" si="10"/>
        <v>4.001869453383379E-2</v>
      </c>
      <c r="U86" s="473">
        <v>129.13999999999999</v>
      </c>
      <c r="V86" s="473">
        <f t="shared" si="23"/>
        <v>0</v>
      </c>
      <c r="W86" s="473">
        <f t="shared" si="11"/>
        <v>-1E-4</v>
      </c>
      <c r="Y86" s="473">
        <v>129.13999999999999</v>
      </c>
      <c r="Z86" s="473">
        <f t="shared" si="12"/>
        <v>0</v>
      </c>
      <c r="AA86" s="473">
        <f t="shared" si="13"/>
        <v>-1E-4</v>
      </c>
      <c r="AC86" s="473">
        <v>11.65</v>
      </c>
      <c r="AD86" s="473">
        <f t="shared" si="14"/>
        <v>9.2567164197916815E-2</v>
      </c>
      <c r="AE86" s="473">
        <f t="shared" si="15"/>
        <v>9.2467164197916812E-2</v>
      </c>
      <c r="AG86" s="473">
        <v>4.3099999999999996</v>
      </c>
      <c r="AH86" s="473">
        <f t="shared" si="24"/>
        <v>0.20532186663788199</v>
      </c>
      <c r="AI86" s="473">
        <f t="shared" si="25"/>
        <v>0.205221866637882</v>
      </c>
      <c r="AK86" s="473">
        <v>33.75</v>
      </c>
      <c r="AL86" s="473">
        <f t="shared" si="16"/>
        <v>5.1683233951859933E-2</v>
      </c>
      <c r="AM86" s="473">
        <f t="shared" si="17"/>
        <v>5.158323395185993E-2</v>
      </c>
      <c r="AP86" s="473">
        <v>1498.11</v>
      </c>
      <c r="AQ86" s="473">
        <f t="shared" si="18"/>
        <v>4.9197760692578335E-2</v>
      </c>
      <c r="AR86" s="473">
        <f t="shared" si="19"/>
        <v>4.9097760692578332E-2</v>
      </c>
      <c r="AT86" s="473">
        <v>1169.17</v>
      </c>
      <c r="AU86" s="473">
        <f t="shared" si="6"/>
        <v>5.6693134134323718E-2</v>
      </c>
      <c r="AV86" s="473">
        <f t="shared" si="20"/>
        <v>5.6593134134323715E-2</v>
      </c>
      <c r="AX86" s="473">
        <v>22656.92</v>
      </c>
      <c r="AY86" s="473">
        <f t="shared" si="7"/>
        <v>2.8042460241840397E-2</v>
      </c>
      <c r="AZ86" s="473">
        <f t="shared" si="21"/>
        <v>2.7942460241840397E-2</v>
      </c>
    </row>
    <row r="87" spans="1:52">
      <c r="A87" s="403">
        <v>41305</v>
      </c>
      <c r="B87" s="404">
        <v>12757</v>
      </c>
      <c r="C87" s="402">
        <v>89.74</v>
      </c>
      <c r="D87" s="402">
        <v>84.8</v>
      </c>
      <c r="E87" s="407">
        <v>4.8802823965801059E-2</v>
      </c>
      <c r="F87" s="407">
        <v>7.7473764488533395E-2</v>
      </c>
      <c r="G87" s="407">
        <v>0.11616288654287826</v>
      </c>
      <c r="H87" s="406">
        <v>1E-4</v>
      </c>
      <c r="I87" s="407">
        <v>4.8702823965801056E-2</v>
      </c>
      <c r="J87" s="407">
        <v>7.7373764488533392E-2</v>
      </c>
      <c r="K87" s="407">
        <v>0.11606288654287826</v>
      </c>
      <c r="M87" s="456">
        <v>42.875</v>
      </c>
      <c r="N87" s="456">
        <f t="shared" si="8"/>
        <v>3.6942261234666249E-2</v>
      </c>
      <c r="O87" s="456">
        <f t="shared" si="9"/>
        <v>3.6842261234666246E-2</v>
      </c>
      <c r="Q87" s="472">
        <v>45.57</v>
      </c>
      <c r="R87" s="472">
        <f t="shared" si="22"/>
        <v>1.2364917970949935E-2</v>
      </c>
      <c r="S87" s="473">
        <f t="shared" si="10"/>
        <v>1.2264917970949935E-2</v>
      </c>
      <c r="U87" s="473">
        <v>129.13999999999999</v>
      </c>
      <c r="V87" s="473">
        <f t="shared" si="23"/>
        <v>0</v>
      </c>
      <c r="W87" s="473">
        <f t="shared" si="11"/>
        <v>-1E-4</v>
      </c>
      <c r="Y87" s="473">
        <v>129.13999999999999</v>
      </c>
      <c r="Z87" s="473">
        <f t="shared" si="12"/>
        <v>0</v>
      </c>
      <c r="AA87" s="473">
        <f t="shared" si="13"/>
        <v>-1E-4</v>
      </c>
      <c r="AC87" s="473">
        <v>12.34</v>
      </c>
      <c r="AD87" s="473">
        <f t="shared" si="14"/>
        <v>5.753983846553222E-2</v>
      </c>
      <c r="AE87" s="473">
        <f t="shared" si="15"/>
        <v>5.7439838465532217E-2</v>
      </c>
      <c r="AG87" s="473">
        <v>4.37</v>
      </c>
      <c r="AH87" s="473">
        <f t="shared" si="24"/>
        <v>1.3825104991842554E-2</v>
      </c>
      <c r="AI87" s="473">
        <f t="shared" si="25"/>
        <v>1.3725104991842554E-2</v>
      </c>
      <c r="AK87" s="473">
        <v>36.07</v>
      </c>
      <c r="AL87" s="473">
        <f t="shared" si="16"/>
        <v>6.6481077596908827E-2</v>
      </c>
      <c r="AM87" s="473">
        <f t="shared" si="17"/>
        <v>6.6381077596908825E-2</v>
      </c>
      <c r="AP87" s="473">
        <v>1514.68</v>
      </c>
      <c r="AQ87" s="473">
        <f t="shared" si="18"/>
        <v>1.0999881888155871E-2</v>
      </c>
      <c r="AR87" s="473">
        <f t="shared" si="19"/>
        <v>1.0899881888155872E-2</v>
      </c>
      <c r="AT87" s="473">
        <v>1199.4000000000001</v>
      </c>
      <c r="AU87" s="473">
        <f t="shared" si="6"/>
        <v>2.5527336396467523E-2</v>
      </c>
      <c r="AV87" s="473">
        <f t="shared" si="20"/>
        <v>2.5427336396467524E-2</v>
      </c>
      <c r="AX87" s="473">
        <v>23729.53</v>
      </c>
      <c r="AY87" s="473">
        <f t="shared" si="7"/>
        <v>4.6254940067492069E-2</v>
      </c>
      <c r="AZ87" s="473">
        <f t="shared" si="21"/>
        <v>4.6154940067492066E-2</v>
      </c>
    </row>
    <row r="88" spans="1:52">
      <c r="A88" s="403">
        <v>41333</v>
      </c>
      <c r="B88" s="405">
        <v>13261.91</v>
      </c>
      <c r="C88" s="402">
        <v>88.08</v>
      </c>
      <c r="D88" s="402">
        <v>83.65</v>
      </c>
      <c r="E88" s="407">
        <v>3.8815876060754796E-2</v>
      </c>
      <c r="F88" s="407">
        <v>-1.8671108133412682E-2</v>
      </c>
      <c r="G88" s="407">
        <v>-1.3654115365024259E-2</v>
      </c>
      <c r="H88" s="406">
        <v>1E-4</v>
      </c>
      <c r="I88" s="407">
        <v>3.8715876060754793E-2</v>
      </c>
      <c r="J88" s="407">
        <v>-1.8771108133412682E-2</v>
      </c>
      <c r="K88" s="407">
        <v>-1.3754115365024258E-2</v>
      </c>
      <c r="M88" s="456">
        <v>45.674999999999997</v>
      </c>
      <c r="N88" s="456">
        <f t="shared" si="8"/>
        <v>6.3262196777966323E-2</v>
      </c>
      <c r="O88" s="456">
        <f t="shared" si="9"/>
        <v>6.316219677796632E-2</v>
      </c>
      <c r="Q88" s="472">
        <v>48.56</v>
      </c>
      <c r="R88" s="472">
        <f t="shared" si="22"/>
        <v>6.3550541475451763E-2</v>
      </c>
      <c r="S88" s="473">
        <f t="shared" si="10"/>
        <v>6.345054147545176E-2</v>
      </c>
      <c r="U88" s="473">
        <v>129.13999999999999</v>
      </c>
      <c r="V88" s="473">
        <f t="shared" si="23"/>
        <v>0</v>
      </c>
      <c r="W88" s="473">
        <f t="shared" si="11"/>
        <v>-1E-4</v>
      </c>
      <c r="Y88" s="473">
        <v>129.13999999999999</v>
      </c>
      <c r="Z88" s="473">
        <f t="shared" si="12"/>
        <v>0</v>
      </c>
      <c r="AA88" s="473">
        <f t="shared" si="13"/>
        <v>-1E-4</v>
      </c>
      <c r="AC88" s="473">
        <v>11.07</v>
      </c>
      <c r="AD88" s="473">
        <f t="shared" si="14"/>
        <v>-0.10860727175669618</v>
      </c>
      <c r="AE88" s="473">
        <f t="shared" si="15"/>
        <v>-0.10870727175669619</v>
      </c>
      <c r="AG88" s="473">
        <v>4.07</v>
      </c>
      <c r="AH88" s="473">
        <f t="shared" si="24"/>
        <v>-7.112000965299517E-2</v>
      </c>
      <c r="AI88" s="473">
        <f t="shared" si="25"/>
        <v>-7.1220009652995173E-2</v>
      </c>
      <c r="AK88" s="473">
        <v>42.034999999999997</v>
      </c>
      <c r="AL88" s="473">
        <f t="shared" si="16"/>
        <v>0.15304110967181239</v>
      </c>
      <c r="AM88" s="473">
        <f t="shared" si="17"/>
        <v>0.1529411096718124</v>
      </c>
      <c r="AP88" s="473">
        <v>1569.19</v>
      </c>
      <c r="AQ88" s="473">
        <f t="shared" si="18"/>
        <v>3.535536713008354E-2</v>
      </c>
      <c r="AR88" s="473">
        <f t="shared" si="19"/>
        <v>3.5255367130083537E-2</v>
      </c>
      <c r="AT88" s="473">
        <v>1201.19</v>
      </c>
      <c r="AU88" s="473">
        <f t="shared" si="6"/>
        <v>1.491300331787619E-3</v>
      </c>
      <c r="AV88" s="473">
        <f t="shared" si="20"/>
        <v>1.3913003317876189E-3</v>
      </c>
      <c r="AX88" s="473">
        <v>23020.27</v>
      </c>
      <c r="AY88" s="473">
        <f t="shared" si="7"/>
        <v>-3.0345131942660968E-2</v>
      </c>
      <c r="AZ88" s="473">
        <f t="shared" si="21"/>
        <v>-3.0445131942660967E-2</v>
      </c>
    </row>
    <row r="89" spans="1:52">
      <c r="A89" s="403">
        <v>41361</v>
      </c>
      <c r="B89" s="405">
        <v>13522.06</v>
      </c>
      <c r="C89" s="402">
        <v>84.79</v>
      </c>
      <c r="D89" s="402">
        <v>83.7</v>
      </c>
      <c r="E89" s="407">
        <v>1.9426409255163875E-2</v>
      </c>
      <c r="F89" s="407">
        <v>-3.8067881098512751E-2</v>
      </c>
      <c r="G89" s="407">
        <v>5.9755006259655595E-4</v>
      </c>
      <c r="H89" s="406">
        <v>1E-4</v>
      </c>
      <c r="I89" s="407">
        <v>1.9326409255163875E-2</v>
      </c>
      <c r="J89" s="407">
        <v>-3.8167881098512754E-2</v>
      </c>
      <c r="K89" s="407">
        <v>4.975500625965559E-4</v>
      </c>
      <c r="M89" s="456">
        <v>42.445</v>
      </c>
      <c r="N89" s="456">
        <f t="shared" si="8"/>
        <v>-7.3341982074139209E-2</v>
      </c>
      <c r="O89" s="456">
        <f t="shared" si="9"/>
        <v>-7.3441982074139212E-2</v>
      </c>
      <c r="Q89" s="472">
        <v>47.81</v>
      </c>
      <c r="R89" s="472">
        <f t="shared" si="22"/>
        <v>-1.5565324113230807E-2</v>
      </c>
      <c r="S89" s="473">
        <f t="shared" si="10"/>
        <v>-1.5665324113230808E-2</v>
      </c>
      <c r="U89" s="473">
        <v>129.13999999999999</v>
      </c>
      <c r="V89" s="473">
        <f t="shared" si="23"/>
        <v>0</v>
      </c>
      <c r="W89" s="473">
        <f t="shared" si="11"/>
        <v>-1E-4</v>
      </c>
      <c r="Y89" s="473">
        <v>129.13999999999999</v>
      </c>
      <c r="Z89" s="473">
        <f t="shared" si="12"/>
        <v>0</v>
      </c>
      <c r="AA89" s="473">
        <f t="shared" si="13"/>
        <v>-1E-4</v>
      </c>
      <c r="AC89" s="473">
        <v>10.62</v>
      </c>
      <c r="AD89" s="473">
        <f t="shared" si="14"/>
        <v>-4.1499730906752852E-2</v>
      </c>
      <c r="AE89" s="473">
        <f t="shared" si="15"/>
        <v>-4.1599730906752855E-2</v>
      </c>
      <c r="AG89" s="473">
        <v>4.07</v>
      </c>
      <c r="AH89" s="473">
        <f t="shared" si="24"/>
        <v>0</v>
      </c>
      <c r="AI89" s="473">
        <f t="shared" si="25"/>
        <v>-1E-4</v>
      </c>
      <c r="AK89" s="473">
        <v>42.505000000000003</v>
      </c>
      <c r="AL89" s="473">
        <f t="shared" si="16"/>
        <v>1.1119111482062113E-2</v>
      </c>
      <c r="AM89" s="473">
        <f t="shared" si="17"/>
        <v>1.1019111482062114E-2</v>
      </c>
      <c r="AP89" s="473">
        <v>1597.57</v>
      </c>
      <c r="AQ89" s="473">
        <f t="shared" si="18"/>
        <v>1.7924162116924588E-2</v>
      </c>
      <c r="AR89" s="473">
        <f t="shared" si="19"/>
        <v>1.7824162116924589E-2</v>
      </c>
      <c r="AT89" s="473">
        <v>1198.99</v>
      </c>
      <c r="AU89" s="473">
        <f t="shared" si="6"/>
        <v>-1.8331963570329621E-3</v>
      </c>
      <c r="AV89" s="473">
        <f t="shared" si="20"/>
        <v>-1.9331963570329621E-3</v>
      </c>
      <c r="AX89" s="473">
        <v>22299.63</v>
      </c>
      <c r="AY89" s="473">
        <f t="shared" si="7"/>
        <v>-3.1805045756142847E-2</v>
      </c>
      <c r="AZ89" s="473">
        <f t="shared" si="21"/>
        <v>-3.190504575614285E-2</v>
      </c>
    </row>
    <row r="90" spans="1:52">
      <c r="A90" s="403">
        <v>41394</v>
      </c>
      <c r="B90" s="405">
        <v>13508.4</v>
      </c>
      <c r="C90" s="402">
        <v>84.92</v>
      </c>
      <c r="D90" s="402">
        <v>84.71</v>
      </c>
      <c r="E90" s="407">
        <v>-1.0107117054501352E-3</v>
      </c>
      <c r="F90" s="407">
        <v>1.5320255191436085E-3</v>
      </c>
      <c r="G90" s="407">
        <v>1.1994680948029881E-2</v>
      </c>
      <c r="H90" s="406">
        <v>1E-4</v>
      </c>
      <c r="I90" s="407">
        <v>-1.1107117054501353E-3</v>
      </c>
      <c r="J90" s="407">
        <v>1.4320255191436085E-3</v>
      </c>
      <c r="K90" s="407">
        <v>1.1894680948029882E-2</v>
      </c>
      <c r="M90" s="456">
        <v>42.015000000000001</v>
      </c>
      <c r="N90" s="456">
        <f t="shared" si="8"/>
        <v>-1.0182422809749582E-2</v>
      </c>
      <c r="O90" s="456">
        <f t="shared" si="9"/>
        <v>-1.0282422809749581E-2</v>
      </c>
      <c r="Q90" s="472">
        <v>51.67</v>
      </c>
      <c r="R90" s="472">
        <f t="shared" si="22"/>
        <v>7.7642519661081225E-2</v>
      </c>
      <c r="S90" s="473">
        <f t="shared" si="10"/>
        <v>7.7542519661081222E-2</v>
      </c>
      <c r="U90" s="473">
        <v>129.13999999999999</v>
      </c>
      <c r="V90" s="473">
        <f t="shared" si="23"/>
        <v>0</v>
      </c>
      <c r="W90" s="473">
        <f t="shared" si="11"/>
        <v>-1E-4</v>
      </c>
      <c r="Y90" s="473">
        <v>129.13999999999999</v>
      </c>
      <c r="Z90" s="473">
        <f t="shared" si="12"/>
        <v>0</v>
      </c>
      <c r="AA90" s="473">
        <f t="shared" si="13"/>
        <v>-1E-4</v>
      </c>
      <c r="AC90" s="473">
        <v>11.26</v>
      </c>
      <c r="AD90" s="473">
        <f t="shared" si="14"/>
        <v>5.8517606897751512E-2</v>
      </c>
      <c r="AE90" s="473">
        <f t="shared" si="15"/>
        <v>5.8417606897751509E-2</v>
      </c>
      <c r="AG90" s="473">
        <v>4.97</v>
      </c>
      <c r="AH90" s="473">
        <f t="shared" si="24"/>
        <v>0.1997768406540337</v>
      </c>
      <c r="AI90" s="473">
        <f t="shared" si="25"/>
        <v>0.19967684065403371</v>
      </c>
      <c r="AK90" s="473">
        <v>43.19</v>
      </c>
      <c r="AL90" s="473">
        <f t="shared" si="16"/>
        <v>1.5987270903287436E-2</v>
      </c>
      <c r="AM90" s="473">
        <f t="shared" si="17"/>
        <v>1.5887270903287436E-2</v>
      </c>
      <c r="AP90" s="473">
        <v>1630.74</v>
      </c>
      <c r="AQ90" s="473">
        <f t="shared" si="18"/>
        <v>2.0550174751576469E-2</v>
      </c>
      <c r="AR90" s="473">
        <f t="shared" si="19"/>
        <v>2.0450174751576469E-2</v>
      </c>
      <c r="AT90" s="473">
        <v>1214.77</v>
      </c>
      <c r="AU90" s="473">
        <f t="shared" si="6"/>
        <v>1.3075222734377584E-2</v>
      </c>
      <c r="AV90" s="473">
        <f t="shared" si="20"/>
        <v>1.2975222734377585E-2</v>
      </c>
      <c r="AX90" s="473">
        <v>22737.01</v>
      </c>
      <c r="AY90" s="473">
        <f t="shared" si="7"/>
        <v>1.9423906909491036E-2</v>
      </c>
      <c r="AZ90" s="473">
        <f t="shared" si="21"/>
        <v>1.9323906909491036E-2</v>
      </c>
    </row>
    <row r="91" spans="1:52">
      <c r="A91" s="403">
        <v>41425</v>
      </c>
      <c r="B91" s="405">
        <v>13950.97</v>
      </c>
      <c r="C91" s="402">
        <v>85.5</v>
      </c>
      <c r="D91" s="402">
        <v>85.35</v>
      </c>
      <c r="E91" s="407">
        <v>3.2237325733552306E-2</v>
      </c>
      <c r="F91" s="407">
        <v>6.8067391076592713E-3</v>
      </c>
      <c r="G91" s="407">
        <v>7.5267907969901304E-3</v>
      </c>
      <c r="H91" s="406">
        <v>1E-4</v>
      </c>
      <c r="I91" s="407">
        <v>3.2137325733552304E-2</v>
      </c>
      <c r="J91" s="407">
        <v>6.706739107659271E-3</v>
      </c>
      <c r="K91" s="407">
        <v>7.4267907969901301E-3</v>
      </c>
      <c r="M91" s="456">
        <v>49.41</v>
      </c>
      <c r="N91" s="456">
        <f t="shared" si="8"/>
        <v>0.16212613547747709</v>
      </c>
      <c r="O91" s="456">
        <f t="shared" si="9"/>
        <v>0.1620261354774771</v>
      </c>
      <c r="Q91" s="472">
        <v>51.73</v>
      </c>
      <c r="R91" s="472">
        <f t="shared" si="22"/>
        <v>1.1605417163304168E-3</v>
      </c>
      <c r="S91" s="473">
        <f t="shared" si="10"/>
        <v>1.0605417163304168E-3</v>
      </c>
      <c r="U91" s="473">
        <v>132.36000000000001</v>
      </c>
      <c r="V91" s="473">
        <f t="shared" si="23"/>
        <v>2.4628395855090645E-2</v>
      </c>
      <c r="W91" s="473">
        <f t="shared" si="11"/>
        <v>2.4528395855090646E-2</v>
      </c>
      <c r="Y91" s="473">
        <v>132.36000000000001</v>
      </c>
      <c r="Z91" s="473">
        <f t="shared" si="12"/>
        <v>2.4628395855090645E-2</v>
      </c>
      <c r="AA91" s="473">
        <f t="shared" si="13"/>
        <v>2.4528395855090646E-2</v>
      </c>
      <c r="AC91" s="473">
        <v>11.93</v>
      </c>
      <c r="AD91" s="473">
        <f t="shared" si="14"/>
        <v>5.7799613398280346E-2</v>
      </c>
      <c r="AE91" s="473">
        <f t="shared" si="15"/>
        <v>5.7699613398280343E-2</v>
      </c>
      <c r="AG91" s="473">
        <v>4.5999999999999996</v>
      </c>
      <c r="AH91" s="473">
        <f t="shared" si="24"/>
        <v>-7.736353661348809E-2</v>
      </c>
      <c r="AI91" s="473">
        <f t="shared" si="25"/>
        <v>-7.7463536613488093E-2</v>
      </c>
      <c r="AK91" s="473">
        <v>50.31</v>
      </c>
      <c r="AL91" s="473">
        <f t="shared" si="16"/>
        <v>0.15259487753061754</v>
      </c>
      <c r="AM91" s="473">
        <f t="shared" si="17"/>
        <v>0.15249487753061755</v>
      </c>
      <c r="AP91" s="473">
        <v>1606.28</v>
      </c>
      <c r="AQ91" s="473">
        <f t="shared" si="18"/>
        <v>-1.5112952997701294E-2</v>
      </c>
      <c r="AR91" s="473">
        <f t="shared" si="19"/>
        <v>-1.5212952997701293E-2</v>
      </c>
      <c r="AT91" s="473">
        <v>1151</v>
      </c>
      <c r="AU91" s="473">
        <f t="shared" si="6"/>
        <v>-5.3923628721659185E-2</v>
      </c>
      <c r="AV91" s="473">
        <f t="shared" si="20"/>
        <v>-5.4023628721659188E-2</v>
      </c>
      <c r="AX91" s="473">
        <v>22392.16</v>
      </c>
      <c r="AY91" s="473">
        <f t="shared" si="7"/>
        <v>-1.5283095712966797E-2</v>
      </c>
      <c r="AZ91" s="473">
        <f t="shared" si="21"/>
        <v>-1.5383095712966796E-2</v>
      </c>
    </row>
    <row r="92" spans="1:52">
      <c r="A92" s="403">
        <v>41453</v>
      </c>
      <c r="B92" s="405">
        <v>13806.4</v>
      </c>
      <c r="C92" s="402">
        <v>84.16</v>
      </c>
      <c r="D92" s="402">
        <v>83.72</v>
      </c>
      <c r="E92" s="407">
        <v>-1.0416787128267754E-2</v>
      </c>
      <c r="F92" s="407">
        <v>-1.5796626953314824E-2</v>
      </c>
      <c r="G92" s="407">
        <v>-1.9282551662650541E-2</v>
      </c>
      <c r="H92" s="406">
        <v>1E-4</v>
      </c>
      <c r="I92" s="407">
        <v>-1.0516787128267754E-2</v>
      </c>
      <c r="J92" s="407">
        <v>-1.5896626953314823E-2</v>
      </c>
      <c r="K92" s="407">
        <v>-1.938255166265054E-2</v>
      </c>
      <c r="M92" s="456">
        <v>46.484999999999999</v>
      </c>
      <c r="N92" s="456">
        <f t="shared" si="8"/>
        <v>-6.1023152949837386E-2</v>
      </c>
      <c r="O92" s="456">
        <f t="shared" si="9"/>
        <v>-6.1123152949837389E-2</v>
      </c>
      <c r="Q92" s="472">
        <v>54.25</v>
      </c>
      <c r="R92" s="472">
        <f t="shared" si="22"/>
        <v>4.756510840514537E-2</v>
      </c>
      <c r="S92" s="473">
        <f t="shared" si="10"/>
        <v>4.7465108405145368E-2</v>
      </c>
      <c r="U92" s="473">
        <v>132.36000000000001</v>
      </c>
      <c r="V92" s="473">
        <f t="shared" si="23"/>
        <v>0</v>
      </c>
      <c r="W92" s="473">
        <f t="shared" si="11"/>
        <v>-1E-4</v>
      </c>
      <c r="Y92" s="473">
        <v>132.36000000000001</v>
      </c>
      <c r="Z92" s="473">
        <f t="shared" si="12"/>
        <v>0</v>
      </c>
      <c r="AA92" s="473">
        <f t="shared" si="13"/>
        <v>-1E-4</v>
      </c>
      <c r="AC92" s="473">
        <v>10.24</v>
      </c>
      <c r="AD92" s="473">
        <f t="shared" si="14"/>
        <v>-0.152754616498463</v>
      </c>
      <c r="AE92" s="473">
        <f t="shared" si="15"/>
        <v>-0.15285461649846299</v>
      </c>
      <c r="AG92" s="473">
        <v>5.19</v>
      </c>
      <c r="AH92" s="473">
        <f t="shared" si="24"/>
        <v>0.12067739368274819</v>
      </c>
      <c r="AI92" s="473">
        <f t="shared" si="25"/>
        <v>0.12057739368274818</v>
      </c>
      <c r="AK92" s="473">
        <v>46.354999999999997</v>
      </c>
      <c r="AL92" s="473">
        <f t="shared" si="16"/>
        <v>-8.1874703444281535E-2</v>
      </c>
      <c r="AM92" s="473">
        <f t="shared" si="17"/>
        <v>-8.1974703444281538E-2</v>
      </c>
      <c r="AP92" s="473">
        <v>1685.73</v>
      </c>
      <c r="AQ92" s="473">
        <f t="shared" si="18"/>
        <v>4.8277757876973679E-2</v>
      </c>
      <c r="AR92" s="473">
        <f t="shared" si="19"/>
        <v>4.8177757876973676E-2</v>
      </c>
      <c r="AT92" s="473">
        <v>1234.07</v>
      </c>
      <c r="AU92" s="473">
        <f t="shared" si="6"/>
        <v>6.9686520228589593E-2</v>
      </c>
      <c r="AV92" s="473">
        <f t="shared" si="20"/>
        <v>6.9586520228589591E-2</v>
      </c>
      <c r="AX92" s="473">
        <v>20803.29</v>
      </c>
      <c r="AY92" s="473">
        <f t="shared" si="7"/>
        <v>-7.3599750320545471E-2</v>
      </c>
      <c r="AZ92" s="473">
        <f t="shared" si="21"/>
        <v>-7.3699750320545473E-2</v>
      </c>
    </row>
    <row r="93" spans="1:52">
      <c r="A93" s="403">
        <v>41486</v>
      </c>
      <c r="B93" s="405">
        <v>14573.2</v>
      </c>
      <c r="C93" s="402">
        <v>85.7</v>
      </c>
      <c r="D93" s="402">
        <v>85.36</v>
      </c>
      <c r="E93" s="407">
        <v>5.4051972695636059E-2</v>
      </c>
      <c r="F93" s="407">
        <v>1.8133076614334425E-2</v>
      </c>
      <c r="G93" s="407">
        <v>1.9399709415699056E-2</v>
      </c>
      <c r="H93" s="406">
        <v>1E-4</v>
      </c>
      <c r="I93" s="407">
        <v>5.3951972695636057E-2</v>
      </c>
      <c r="J93" s="407">
        <v>1.8033076614334426E-2</v>
      </c>
      <c r="K93" s="407">
        <v>1.9299709415699057E-2</v>
      </c>
      <c r="M93" s="456">
        <v>52.22</v>
      </c>
      <c r="N93" s="456">
        <f t="shared" si="8"/>
        <v>0.1163358833631615</v>
      </c>
      <c r="O93" s="456">
        <f t="shared" si="9"/>
        <v>0.1162358833631615</v>
      </c>
      <c r="Q93" s="472">
        <v>51.87</v>
      </c>
      <c r="R93" s="472">
        <f t="shared" si="22"/>
        <v>-4.4862404057260177E-2</v>
      </c>
      <c r="S93" s="473">
        <f t="shared" si="10"/>
        <v>-4.496240405726018E-2</v>
      </c>
      <c r="U93" s="473">
        <v>131.19999999999999</v>
      </c>
      <c r="V93" s="473">
        <f t="shared" si="23"/>
        <v>-8.8026065434229171E-3</v>
      </c>
      <c r="W93" s="473">
        <f t="shared" si="11"/>
        <v>-8.9026065434229164E-3</v>
      </c>
      <c r="Y93" s="473">
        <v>131.19999999999999</v>
      </c>
      <c r="Z93" s="473">
        <f t="shared" si="12"/>
        <v>-8.8026065434229171E-3</v>
      </c>
      <c r="AA93" s="473">
        <f t="shared" si="13"/>
        <v>-8.9026065434229164E-3</v>
      </c>
      <c r="AC93" s="473">
        <v>10.28</v>
      </c>
      <c r="AD93" s="473">
        <f t="shared" si="14"/>
        <v>3.8986404156573229E-3</v>
      </c>
      <c r="AE93" s="473">
        <f t="shared" si="15"/>
        <v>3.7986404156573231E-3</v>
      </c>
      <c r="AG93" s="473">
        <v>6.75</v>
      </c>
      <c r="AH93" s="473">
        <f t="shared" si="24"/>
        <v>0.26280880770664106</v>
      </c>
      <c r="AI93" s="473">
        <f t="shared" si="25"/>
        <v>0.26270880770664107</v>
      </c>
      <c r="AK93" s="473">
        <v>50.23</v>
      </c>
      <c r="AL93" s="473">
        <f t="shared" si="16"/>
        <v>8.0283296703007614E-2</v>
      </c>
      <c r="AM93" s="473">
        <f t="shared" si="17"/>
        <v>8.0183296703007612E-2</v>
      </c>
      <c r="AP93" s="473">
        <v>1632.97</v>
      </c>
      <c r="AQ93" s="473">
        <f t="shared" si="18"/>
        <v>-3.179826168331884E-2</v>
      </c>
      <c r="AR93" s="473">
        <f t="shared" si="19"/>
        <v>-3.1898261683318843E-2</v>
      </c>
      <c r="AT93" s="473">
        <v>1214.3499999999999</v>
      </c>
      <c r="AU93" s="473">
        <f t="shared" si="6"/>
        <v>-1.6108695752241921E-2</v>
      </c>
      <c r="AV93" s="473">
        <f t="shared" si="20"/>
        <v>-1.620869575224192E-2</v>
      </c>
      <c r="AX93" s="473">
        <v>21883.66</v>
      </c>
      <c r="AY93" s="473">
        <f t="shared" si="7"/>
        <v>5.0629092339736982E-2</v>
      </c>
      <c r="AZ93" s="473">
        <f t="shared" si="21"/>
        <v>5.0529092339736979E-2</v>
      </c>
    </row>
    <row r="94" spans="1:52">
      <c r="A94" s="403">
        <v>41516</v>
      </c>
      <c r="B94" s="405">
        <v>14636.98</v>
      </c>
      <c r="C94" s="402">
        <v>86.91</v>
      </c>
      <c r="D94" s="402">
        <v>85.91</v>
      </c>
      <c r="E94" s="407">
        <v>4.3669776331156356E-3</v>
      </c>
      <c r="F94" s="407">
        <v>1.4020274845634612E-2</v>
      </c>
      <c r="G94" s="407">
        <v>6.4226296564671922E-3</v>
      </c>
      <c r="H94" s="406">
        <v>1E-4</v>
      </c>
      <c r="I94" s="407">
        <v>4.2669776331156354E-3</v>
      </c>
      <c r="J94" s="407">
        <v>1.3920274845634613E-2</v>
      </c>
      <c r="K94" s="407">
        <v>6.322629656467192E-3</v>
      </c>
      <c r="M94" s="456">
        <v>51.92</v>
      </c>
      <c r="N94" s="456">
        <f t="shared" si="8"/>
        <v>-5.7614908751481573E-3</v>
      </c>
      <c r="O94" s="456">
        <f t="shared" si="9"/>
        <v>-5.8614908751481575E-3</v>
      </c>
      <c r="Q94" s="472">
        <v>53.85</v>
      </c>
      <c r="R94" s="472">
        <f t="shared" si="22"/>
        <v>3.7461815239088821E-2</v>
      </c>
      <c r="S94" s="473">
        <f t="shared" si="10"/>
        <v>3.7361815239088818E-2</v>
      </c>
      <c r="U94" s="473">
        <v>128.01</v>
      </c>
      <c r="V94" s="473">
        <f t="shared" si="23"/>
        <v>-2.4614490641970358E-2</v>
      </c>
      <c r="W94" s="473">
        <f t="shared" si="11"/>
        <v>-2.4714490641970357E-2</v>
      </c>
      <c r="Y94" s="473">
        <v>128.01</v>
      </c>
      <c r="Z94" s="473">
        <f t="shared" si="12"/>
        <v>-2.4614490641970358E-2</v>
      </c>
      <c r="AA94" s="473">
        <f t="shared" si="13"/>
        <v>-2.4714490641970357E-2</v>
      </c>
      <c r="AC94" s="473">
        <v>10.62</v>
      </c>
      <c r="AD94" s="473">
        <f t="shared" si="14"/>
        <v>3.2538755786773614E-2</v>
      </c>
      <c r="AE94" s="473">
        <f t="shared" si="15"/>
        <v>3.2438755786773611E-2</v>
      </c>
      <c r="AG94" s="473">
        <v>6.62</v>
      </c>
      <c r="AH94" s="473">
        <f t="shared" si="24"/>
        <v>-1.944713493552155E-2</v>
      </c>
      <c r="AI94" s="473">
        <f t="shared" si="25"/>
        <v>-1.954713493552155E-2</v>
      </c>
      <c r="AK94" s="473">
        <v>50.8</v>
      </c>
      <c r="AL94" s="473">
        <f t="shared" si="16"/>
        <v>1.1283896822482804E-2</v>
      </c>
      <c r="AM94" s="473">
        <f t="shared" si="17"/>
        <v>1.1183896822482805E-2</v>
      </c>
      <c r="AP94" s="473">
        <v>1681.55</v>
      </c>
      <c r="AQ94" s="473">
        <f t="shared" si="18"/>
        <v>2.9315544388002535E-2</v>
      </c>
      <c r="AR94" s="473">
        <f t="shared" si="19"/>
        <v>2.9215544388002536E-2</v>
      </c>
      <c r="AT94" s="473">
        <v>1259.5999999999999</v>
      </c>
      <c r="AU94" s="473">
        <f t="shared" si="6"/>
        <v>3.6585256028639122E-2</v>
      </c>
      <c r="AV94" s="473">
        <f t="shared" si="20"/>
        <v>3.6485256028639119E-2</v>
      </c>
      <c r="AX94" s="473">
        <v>21731.37</v>
      </c>
      <c r="AY94" s="473">
        <f t="shared" si="7"/>
        <v>-6.9834008553762237E-3</v>
      </c>
      <c r="AZ94" s="473">
        <f t="shared" si="21"/>
        <v>-7.083400855376224E-3</v>
      </c>
    </row>
    <row r="95" spans="1:52">
      <c r="A95" s="403">
        <v>41547</v>
      </c>
      <c r="B95" s="405">
        <v>15174.54</v>
      </c>
      <c r="C95" s="402">
        <v>88.67</v>
      </c>
      <c r="D95" s="402">
        <v>87.5</v>
      </c>
      <c r="E95" s="407">
        <v>3.6067820370628563E-2</v>
      </c>
      <c r="F95" s="407">
        <v>2.0048512942546937E-2</v>
      </c>
      <c r="G95" s="407">
        <v>1.8338556713603581E-2</v>
      </c>
      <c r="H95" s="406">
        <v>1E-4</v>
      </c>
      <c r="I95" s="407">
        <v>3.596782037062856E-2</v>
      </c>
      <c r="J95" s="407">
        <v>1.9948512942546938E-2</v>
      </c>
      <c r="K95" s="407">
        <v>1.8238556713603582E-2</v>
      </c>
      <c r="M95" s="456">
        <v>57.62</v>
      </c>
      <c r="N95" s="456">
        <f t="shared" si="8"/>
        <v>0.1041656572605477</v>
      </c>
      <c r="O95" s="456">
        <f t="shared" si="9"/>
        <v>0.1040656572605477</v>
      </c>
      <c r="Q95" s="472">
        <v>53.79</v>
      </c>
      <c r="R95" s="472">
        <f t="shared" si="22"/>
        <v>-1.1148273172463972E-3</v>
      </c>
      <c r="S95" s="473">
        <f t="shared" si="10"/>
        <v>-1.2148273172463973E-3</v>
      </c>
      <c r="U95" s="473">
        <v>133.03</v>
      </c>
      <c r="V95" s="473">
        <f t="shared" si="23"/>
        <v>3.8466280827796143E-2</v>
      </c>
      <c r="W95" s="473">
        <f t="shared" si="11"/>
        <v>3.836628082779614E-2</v>
      </c>
      <c r="Y95" s="473">
        <v>133.03</v>
      </c>
      <c r="Z95" s="473">
        <f t="shared" si="12"/>
        <v>3.8466280827796143E-2</v>
      </c>
      <c r="AA95" s="473">
        <f t="shared" si="13"/>
        <v>3.836628082779614E-2</v>
      </c>
      <c r="AC95" s="473">
        <v>11.64</v>
      </c>
      <c r="AD95" s="473">
        <f t="shared" si="14"/>
        <v>9.170842648949909E-2</v>
      </c>
      <c r="AE95" s="473">
        <f t="shared" si="15"/>
        <v>9.1608426489499087E-2</v>
      </c>
      <c r="AG95" s="473">
        <v>6.95</v>
      </c>
      <c r="AH95" s="473">
        <f t="shared" si="24"/>
        <v>4.8646289627784001E-2</v>
      </c>
      <c r="AI95" s="473">
        <f t="shared" si="25"/>
        <v>4.8546289627783998E-2</v>
      </c>
      <c r="AK95" s="473">
        <v>54.29</v>
      </c>
      <c r="AL95" s="473">
        <f t="shared" si="16"/>
        <v>6.644369333292352E-2</v>
      </c>
      <c r="AM95" s="473">
        <f t="shared" si="17"/>
        <v>6.6343693332923517E-2</v>
      </c>
      <c r="AP95" s="473">
        <v>1756.54</v>
      </c>
      <c r="AQ95" s="473">
        <f t="shared" si="18"/>
        <v>4.3629977912082465E-2</v>
      </c>
      <c r="AR95" s="473">
        <f t="shared" si="19"/>
        <v>4.3529977912082463E-2</v>
      </c>
      <c r="AT95" s="473">
        <v>1283.52</v>
      </c>
      <c r="AU95" s="473">
        <f t="shared" si="6"/>
        <v>1.8812093354818607E-2</v>
      </c>
      <c r="AV95" s="473">
        <f t="shared" si="20"/>
        <v>1.8712093354818608E-2</v>
      </c>
      <c r="AX95" s="473">
        <v>22859.86</v>
      </c>
      <c r="AY95" s="473">
        <f t="shared" si="7"/>
        <v>5.0625695352926936E-2</v>
      </c>
      <c r="AZ95" s="473">
        <f t="shared" si="21"/>
        <v>5.0525695352926933E-2</v>
      </c>
    </row>
    <row r="96" spans="1:52">
      <c r="A96" s="403">
        <v>41578</v>
      </c>
      <c r="B96" s="405">
        <v>15989.77</v>
      </c>
      <c r="C96" s="402">
        <v>88.75</v>
      </c>
      <c r="D96" s="402">
        <v>87.91</v>
      </c>
      <c r="E96" s="407">
        <v>5.233011928113239E-2</v>
      </c>
      <c r="F96" s="407">
        <v>9.0181496360957009E-4</v>
      </c>
      <c r="G96" s="407">
        <v>4.6747704995183754E-3</v>
      </c>
      <c r="H96" s="406">
        <v>1E-4</v>
      </c>
      <c r="I96" s="407">
        <v>5.2230119281132387E-2</v>
      </c>
      <c r="J96" s="407">
        <v>8.0181496360957004E-4</v>
      </c>
      <c r="K96" s="407">
        <v>4.5747704995183752E-3</v>
      </c>
      <c r="M96" s="456">
        <v>60.44</v>
      </c>
      <c r="N96" s="456">
        <f t="shared" si="8"/>
        <v>4.778140774815641E-2</v>
      </c>
      <c r="O96" s="456">
        <f t="shared" si="9"/>
        <v>4.7681407748156407E-2</v>
      </c>
      <c r="Q96" s="472">
        <v>55.64</v>
      </c>
      <c r="R96" s="472">
        <f t="shared" si="22"/>
        <v>3.3814790770091051E-2</v>
      </c>
      <c r="S96" s="473">
        <f t="shared" si="10"/>
        <v>3.3714790770091048E-2</v>
      </c>
      <c r="U96" s="473">
        <v>125.59</v>
      </c>
      <c r="V96" s="473">
        <f t="shared" si="23"/>
        <v>-5.7552033665779004E-2</v>
      </c>
      <c r="W96" s="473">
        <f t="shared" si="11"/>
        <v>-5.7652033665779007E-2</v>
      </c>
      <c r="Y96" s="473">
        <v>125.59</v>
      </c>
      <c r="Z96" s="473">
        <f t="shared" si="12"/>
        <v>-5.7552033665779004E-2</v>
      </c>
      <c r="AA96" s="473">
        <f t="shared" si="13"/>
        <v>-5.7652033665779007E-2</v>
      </c>
      <c r="AC96" s="473">
        <v>10.83</v>
      </c>
      <c r="AD96" s="473">
        <f t="shared" si="14"/>
        <v>-7.2127381290392617E-2</v>
      </c>
      <c r="AE96" s="473">
        <f t="shared" si="15"/>
        <v>-7.222738129039262E-2</v>
      </c>
      <c r="AG96" s="473">
        <v>6.35</v>
      </c>
      <c r="AH96" s="473">
        <f t="shared" si="24"/>
        <v>-9.0286846672100629E-2</v>
      </c>
      <c r="AI96" s="473">
        <f t="shared" si="25"/>
        <v>-9.0386846672100632E-2</v>
      </c>
      <c r="AK96" s="473">
        <v>64.599999999999994</v>
      </c>
      <c r="AL96" s="473">
        <f t="shared" si="16"/>
        <v>0.17387436287119631</v>
      </c>
      <c r="AM96" s="473">
        <f t="shared" si="17"/>
        <v>0.17377436287119633</v>
      </c>
      <c r="AP96" s="473">
        <v>1805.81</v>
      </c>
      <c r="AQ96" s="473">
        <f t="shared" si="18"/>
        <v>2.7663279564206007E-2</v>
      </c>
      <c r="AR96" s="473">
        <f t="shared" si="19"/>
        <v>2.7563279564206008E-2</v>
      </c>
      <c r="AT96" s="473">
        <v>1307.71</v>
      </c>
      <c r="AU96" s="473">
        <f t="shared" si="6"/>
        <v>1.8671212315371371E-2</v>
      </c>
      <c r="AV96" s="473">
        <f t="shared" si="20"/>
        <v>1.8571212315371372E-2</v>
      </c>
      <c r="AX96" s="473">
        <v>23206.37</v>
      </c>
      <c r="AY96" s="473">
        <f t="shared" si="7"/>
        <v>1.5044275837180586E-2</v>
      </c>
      <c r="AZ96" s="473">
        <f t="shared" si="21"/>
        <v>1.4944275837180587E-2</v>
      </c>
    </row>
    <row r="97" spans="1:52">
      <c r="A97" s="403">
        <v>41607</v>
      </c>
      <c r="B97" s="405">
        <v>16334.28</v>
      </c>
      <c r="C97" s="402">
        <v>89.47</v>
      </c>
      <c r="D97" s="402">
        <v>88.9</v>
      </c>
      <c r="E97" s="407">
        <v>2.1316824194203256E-2</v>
      </c>
      <c r="F97" s="407">
        <v>8.0799452039793315E-3</v>
      </c>
      <c r="G97" s="407">
        <v>1.1198578656771731E-2</v>
      </c>
      <c r="H97" s="406">
        <v>1E-4</v>
      </c>
      <c r="I97" s="407">
        <v>2.1216824194203256E-2</v>
      </c>
      <c r="J97" s="407">
        <v>7.9799452039793321E-3</v>
      </c>
      <c r="K97" s="407">
        <v>1.1098578656771732E-2</v>
      </c>
      <c r="M97" s="456">
        <v>61</v>
      </c>
      <c r="N97" s="456">
        <f t="shared" si="8"/>
        <v>9.2227267687723727E-3</v>
      </c>
      <c r="O97" s="456">
        <f t="shared" si="9"/>
        <v>9.1227267687723733E-3</v>
      </c>
      <c r="Q97" s="472">
        <v>58.36</v>
      </c>
      <c r="R97" s="472">
        <f t="shared" si="22"/>
        <v>4.772835659934279E-2</v>
      </c>
      <c r="S97" s="473">
        <f t="shared" si="10"/>
        <v>4.7628356599342787E-2</v>
      </c>
      <c r="U97" s="473">
        <v>125.69</v>
      </c>
      <c r="V97" s="473">
        <f t="shared" si="23"/>
        <v>7.9592490671073378E-4</v>
      </c>
      <c r="W97" s="473">
        <f t="shared" si="11"/>
        <v>6.9592490671073373E-4</v>
      </c>
      <c r="Y97" s="473">
        <v>125.69</v>
      </c>
      <c r="Z97" s="473">
        <f t="shared" si="12"/>
        <v>7.9592490671073378E-4</v>
      </c>
      <c r="AA97" s="473">
        <f t="shared" si="13"/>
        <v>6.9592490671073373E-4</v>
      </c>
      <c r="AC97" s="473">
        <v>12.18</v>
      </c>
      <c r="AD97" s="473">
        <f t="shared" si="14"/>
        <v>0.11747520126885165</v>
      </c>
      <c r="AE97" s="473">
        <f t="shared" si="15"/>
        <v>0.11737520126885165</v>
      </c>
      <c r="AG97" s="473">
        <v>6.43</v>
      </c>
      <c r="AH97" s="473">
        <f t="shared" si="24"/>
        <v>1.2519725344927849E-2</v>
      </c>
      <c r="AI97" s="473">
        <f t="shared" si="25"/>
        <v>1.241972534492785E-2</v>
      </c>
      <c r="AK97" s="473">
        <v>64.2</v>
      </c>
      <c r="AL97" s="473">
        <f t="shared" si="16"/>
        <v>-6.2112000926405238E-3</v>
      </c>
      <c r="AM97" s="473">
        <f t="shared" si="17"/>
        <v>-6.311200092640524E-3</v>
      </c>
      <c r="AP97" s="473">
        <v>1848.36</v>
      </c>
      <c r="AQ97" s="473">
        <f t="shared" si="18"/>
        <v>2.328951485450324E-2</v>
      </c>
      <c r="AR97" s="473">
        <f t="shared" si="19"/>
        <v>2.318951485450324E-2</v>
      </c>
      <c r="AT97" s="473">
        <v>1332.95</v>
      </c>
      <c r="AU97" s="473">
        <f t="shared" si="6"/>
        <v>1.9117015200810675E-2</v>
      </c>
      <c r="AV97" s="473">
        <f t="shared" si="20"/>
        <v>1.9017015200810675E-2</v>
      </c>
      <c r="AX97" s="473">
        <v>23881.29</v>
      </c>
      <c r="AY97" s="473">
        <f t="shared" si="7"/>
        <v>2.8668497215249365E-2</v>
      </c>
      <c r="AZ97" s="473">
        <f t="shared" si="21"/>
        <v>2.8568497215249365E-2</v>
      </c>
    </row>
    <row r="98" spans="1:52">
      <c r="A98" s="403">
        <v>41638</v>
      </c>
      <c r="B98" s="405">
        <v>16574.45</v>
      </c>
      <c r="C98" s="402">
        <v>89.25</v>
      </c>
      <c r="D98" s="402">
        <v>88.56</v>
      </c>
      <c r="E98" s="407">
        <v>1.4596386070982265E-2</v>
      </c>
      <c r="F98" s="407">
        <v>-2.4619528997561193E-3</v>
      </c>
      <c r="G98" s="407">
        <v>-3.8318541194775416E-3</v>
      </c>
      <c r="H98" s="406">
        <v>1E-4</v>
      </c>
      <c r="I98" s="407">
        <v>1.4496386070982265E-2</v>
      </c>
      <c r="J98" s="407">
        <v>-2.5619528997561192E-3</v>
      </c>
      <c r="K98" s="407">
        <v>-3.9318541194775418E-3</v>
      </c>
      <c r="M98" s="456">
        <v>62.9</v>
      </c>
      <c r="N98" s="456">
        <f t="shared" si="8"/>
        <v>3.0672299533083647E-2</v>
      </c>
      <c r="O98" s="456">
        <f t="shared" si="9"/>
        <v>3.0572299533083647E-2</v>
      </c>
      <c r="Q98" s="472">
        <v>55.23</v>
      </c>
      <c r="R98" s="472">
        <f t="shared" si="22"/>
        <v>-5.5124439741488722E-2</v>
      </c>
      <c r="S98" s="473">
        <f t="shared" si="10"/>
        <v>-5.5224439741488725E-2</v>
      </c>
      <c r="U98" s="473">
        <v>121.63</v>
      </c>
      <c r="V98" s="473">
        <f t="shared" si="23"/>
        <v>-3.2834908306401102E-2</v>
      </c>
      <c r="W98" s="473">
        <f t="shared" si="11"/>
        <v>-3.2934908306401105E-2</v>
      </c>
      <c r="Y98" s="473">
        <v>121.63</v>
      </c>
      <c r="Z98" s="473">
        <f t="shared" si="12"/>
        <v>-3.2834908306401102E-2</v>
      </c>
      <c r="AA98" s="473">
        <f t="shared" si="13"/>
        <v>-3.2934908306401105E-2</v>
      </c>
      <c r="AC98" s="473">
        <v>12</v>
      </c>
      <c r="AD98" s="473">
        <f t="shared" si="14"/>
        <v>-1.4888612493750637E-2</v>
      </c>
      <c r="AE98" s="473">
        <f t="shared" si="15"/>
        <v>-1.4988612493750636E-2</v>
      </c>
      <c r="AG98" s="473">
        <v>7.31</v>
      </c>
      <c r="AH98" s="473">
        <f t="shared" si="24"/>
        <v>0.12826873551215912</v>
      </c>
      <c r="AI98" s="473">
        <f t="shared" si="25"/>
        <v>0.12816873551215913</v>
      </c>
      <c r="AK98" s="473">
        <v>64.81</v>
      </c>
      <c r="AL98" s="473">
        <f t="shared" si="16"/>
        <v>9.4567017437090627E-3</v>
      </c>
      <c r="AM98" s="473">
        <f t="shared" si="17"/>
        <v>9.3567017437090633E-3</v>
      </c>
      <c r="AP98" s="473">
        <v>1782.59</v>
      </c>
      <c r="AQ98" s="473">
        <f t="shared" si="18"/>
        <v>-3.6231396526946812E-2</v>
      </c>
      <c r="AR98" s="473">
        <f t="shared" si="19"/>
        <v>-3.6331396526946814E-2</v>
      </c>
      <c r="AT98" s="473">
        <v>1304.45</v>
      </c>
      <c r="AU98" s="473">
        <f t="shared" si="6"/>
        <v>-2.161303511728933E-2</v>
      </c>
      <c r="AV98" s="473">
        <f t="shared" si="20"/>
        <v>-2.171303511728933E-2</v>
      </c>
      <c r="AX98" s="473">
        <v>23306.39</v>
      </c>
      <c r="AY98" s="473">
        <f t="shared" si="7"/>
        <v>-2.43677352665401E-2</v>
      </c>
      <c r="AZ98" s="473">
        <f t="shared" si="21"/>
        <v>-2.44677352665401E-2</v>
      </c>
    </row>
    <row r="99" spans="1:52">
      <c r="A99" s="403">
        <v>41670</v>
      </c>
      <c r="B99" s="405">
        <v>16205.88</v>
      </c>
      <c r="C99" s="402">
        <v>90.3</v>
      </c>
      <c r="D99" s="402">
        <v>89.69</v>
      </c>
      <c r="E99" s="407">
        <v>-2.2488213671424107E-2</v>
      </c>
      <c r="F99" s="407">
        <v>1.1696039763191236E-2</v>
      </c>
      <c r="G99" s="407">
        <v>1.267899172953013E-2</v>
      </c>
      <c r="H99" s="406">
        <v>1E-4</v>
      </c>
      <c r="I99" s="407">
        <v>-2.2588213671424107E-2</v>
      </c>
      <c r="J99" s="407">
        <v>1.1596039763191237E-2</v>
      </c>
      <c r="K99" s="407">
        <v>1.257899172953013E-2</v>
      </c>
      <c r="M99" s="456">
        <v>62.13</v>
      </c>
      <c r="N99" s="456">
        <f t="shared" si="8"/>
        <v>-1.231719963079235E-2</v>
      </c>
      <c r="O99" s="456">
        <f t="shared" si="9"/>
        <v>-1.2417199630792349E-2</v>
      </c>
      <c r="Q99" s="472">
        <v>65.16</v>
      </c>
      <c r="R99" s="472">
        <f t="shared" si="22"/>
        <v>0.16533949982074825</v>
      </c>
      <c r="S99" s="473">
        <f t="shared" si="10"/>
        <v>0.16523949982074826</v>
      </c>
      <c r="U99" s="473">
        <v>129.65</v>
      </c>
      <c r="V99" s="473">
        <f t="shared" si="23"/>
        <v>6.3854862354328495E-2</v>
      </c>
      <c r="W99" s="473">
        <f t="shared" si="11"/>
        <v>6.3754862354328493E-2</v>
      </c>
      <c r="Y99" s="473">
        <v>129.65</v>
      </c>
      <c r="Z99" s="473">
        <f t="shared" si="12"/>
        <v>6.3854862354328495E-2</v>
      </c>
      <c r="AA99" s="473">
        <f t="shared" si="13"/>
        <v>6.3754862354328493E-2</v>
      </c>
      <c r="AC99" s="473">
        <v>11.33</v>
      </c>
      <c r="AD99" s="473">
        <f t="shared" si="14"/>
        <v>-5.7452574748085315E-2</v>
      </c>
      <c r="AE99" s="473">
        <f t="shared" si="15"/>
        <v>-5.7552574748085318E-2</v>
      </c>
      <c r="AG99" s="473">
        <v>7.83</v>
      </c>
      <c r="AH99" s="473">
        <f t="shared" si="24"/>
        <v>6.8719236241024759E-2</v>
      </c>
      <c r="AI99" s="473">
        <f t="shared" si="25"/>
        <v>6.8619236241024756E-2</v>
      </c>
      <c r="AK99" s="473">
        <v>62.53</v>
      </c>
      <c r="AL99" s="473">
        <f t="shared" si="16"/>
        <v>-3.5813470860418049E-2</v>
      </c>
      <c r="AM99" s="473">
        <f t="shared" si="17"/>
        <v>-3.5913470860418052E-2</v>
      </c>
      <c r="AP99" s="473">
        <v>1859.45</v>
      </c>
      <c r="AQ99" s="473">
        <f t="shared" si="18"/>
        <v>4.2213382157548759E-2</v>
      </c>
      <c r="AR99" s="473">
        <f t="shared" si="19"/>
        <v>4.2113382157548757E-2</v>
      </c>
      <c r="AT99" s="473">
        <v>1369.13</v>
      </c>
      <c r="AU99" s="473">
        <f t="shared" si="6"/>
        <v>4.839400562415893E-2</v>
      </c>
      <c r="AV99" s="473">
        <f t="shared" si="20"/>
        <v>4.8294005624158927E-2</v>
      </c>
      <c r="AX99" s="473">
        <v>22035.42</v>
      </c>
      <c r="AY99" s="473">
        <f t="shared" si="7"/>
        <v>-5.6076413201598868E-2</v>
      </c>
      <c r="AZ99" s="473">
        <f t="shared" si="21"/>
        <v>-5.6176413201598871E-2</v>
      </c>
    </row>
    <row r="100" spans="1:52">
      <c r="A100" s="403">
        <v>41698</v>
      </c>
      <c r="B100" s="405">
        <v>16891.73</v>
      </c>
      <c r="C100" s="402">
        <v>93.5</v>
      </c>
      <c r="D100" s="402">
        <v>92.65</v>
      </c>
      <c r="E100" s="407">
        <v>4.1450013700070301E-2</v>
      </c>
      <c r="F100" s="407">
        <v>3.4823975871701517E-2</v>
      </c>
      <c r="G100" s="407">
        <v>3.2469672601457243E-2</v>
      </c>
      <c r="H100" s="406">
        <v>1E-4</v>
      </c>
      <c r="I100" s="407">
        <v>4.1350013700070298E-2</v>
      </c>
      <c r="J100" s="407">
        <v>3.4723975871701514E-2</v>
      </c>
      <c r="K100" s="407">
        <v>3.236967260145724E-2</v>
      </c>
      <c r="M100" s="456">
        <v>67.52</v>
      </c>
      <c r="N100" s="456">
        <f t="shared" si="8"/>
        <v>8.3194886212099098E-2</v>
      </c>
      <c r="O100" s="456">
        <f t="shared" si="9"/>
        <v>8.3094886212099095E-2</v>
      </c>
      <c r="Q100" s="472">
        <v>66.739999999999995</v>
      </c>
      <c r="R100" s="472">
        <f t="shared" si="22"/>
        <v>2.3958689589383565E-2</v>
      </c>
      <c r="S100" s="473">
        <f t="shared" si="10"/>
        <v>2.3858689589383565E-2</v>
      </c>
      <c r="U100" s="473">
        <v>190.32</v>
      </c>
      <c r="V100" s="473">
        <f t="shared" si="23"/>
        <v>0.38386835401002872</v>
      </c>
      <c r="W100" s="473">
        <f t="shared" si="11"/>
        <v>0.38376835401002873</v>
      </c>
      <c r="Y100" s="473">
        <v>190.32</v>
      </c>
      <c r="Z100" s="473">
        <f t="shared" si="12"/>
        <v>0.38386835401002872</v>
      </c>
      <c r="AA100" s="473">
        <f t="shared" si="13"/>
        <v>0.38376835401002873</v>
      </c>
      <c r="AC100" s="473">
        <v>10.46</v>
      </c>
      <c r="AD100" s="473">
        <f t="shared" si="14"/>
        <v>-7.9895616403138081E-2</v>
      </c>
      <c r="AE100" s="473">
        <f t="shared" si="15"/>
        <v>-7.9995616403138084E-2</v>
      </c>
      <c r="AG100" s="473">
        <v>6.07</v>
      </c>
      <c r="AH100" s="473">
        <f t="shared" si="24"/>
        <v>-0.2546039049313048</v>
      </c>
      <c r="AI100" s="473">
        <f t="shared" si="25"/>
        <v>-0.25470390493130479</v>
      </c>
      <c r="AK100" s="473">
        <v>60.64</v>
      </c>
      <c r="AL100" s="473">
        <f t="shared" si="16"/>
        <v>-3.0691700245090311E-2</v>
      </c>
      <c r="AM100" s="473">
        <f t="shared" si="17"/>
        <v>-3.0791700245090311E-2</v>
      </c>
      <c r="AP100" s="473">
        <v>1872.34</v>
      </c>
      <c r="AQ100" s="473">
        <f t="shared" si="18"/>
        <v>6.9082404225633224E-3</v>
      </c>
      <c r="AR100" s="473">
        <f t="shared" si="19"/>
        <v>6.8082404225633221E-3</v>
      </c>
      <c r="AT100" s="473">
        <v>1364.97</v>
      </c>
      <c r="AU100" s="473">
        <f t="shared" si="6"/>
        <v>-3.0430512491779783E-3</v>
      </c>
      <c r="AV100" s="473">
        <f t="shared" si="20"/>
        <v>-3.1430512491779782E-3</v>
      </c>
      <c r="AX100" s="473">
        <v>22836.959999999999</v>
      </c>
      <c r="AY100" s="473">
        <f t="shared" si="7"/>
        <v>3.57291174066411E-2</v>
      </c>
      <c r="AZ100" s="473">
        <f t="shared" si="21"/>
        <v>3.5629117406641098E-2</v>
      </c>
    </row>
    <row r="101" spans="1:52">
      <c r="A101" s="403">
        <v>41729</v>
      </c>
      <c r="B101" s="405">
        <v>16461.68</v>
      </c>
      <c r="C101" s="402">
        <v>92.5</v>
      </c>
      <c r="D101" s="402">
        <v>92.15</v>
      </c>
      <c r="E101" s="407">
        <v>-2.5788897392058027E-2</v>
      </c>
      <c r="F101" s="407">
        <v>-1.0752791776261849E-2</v>
      </c>
      <c r="G101" s="407">
        <v>-5.4112686155365448E-3</v>
      </c>
      <c r="H101" s="406">
        <v>1E-4</v>
      </c>
      <c r="I101" s="407">
        <v>-2.5888897392058026E-2</v>
      </c>
      <c r="J101" s="407">
        <v>-1.0852791776261849E-2</v>
      </c>
      <c r="K101" s="407">
        <v>-5.5112686155365451E-3</v>
      </c>
      <c r="M101" s="456">
        <v>68.59</v>
      </c>
      <c r="N101" s="456">
        <f t="shared" si="8"/>
        <v>1.5722901223528481E-2</v>
      </c>
      <c r="O101" s="456">
        <f t="shared" si="9"/>
        <v>1.5622901223528482E-2</v>
      </c>
      <c r="Q101" s="472">
        <v>63.32</v>
      </c>
      <c r="R101" s="472">
        <f t="shared" si="22"/>
        <v>-5.2603238310416467E-2</v>
      </c>
      <c r="S101" s="473">
        <f t="shared" si="10"/>
        <v>-5.270323831041647E-2</v>
      </c>
      <c r="U101" s="473">
        <v>183.75</v>
      </c>
      <c r="V101" s="473">
        <f t="shared" si="23"/>
        <v>-3.5130727901756122E-2</v>
      </c>
      <c r="W101" s="473">
        <f t="shared" si="11"/>
        <v>-3.5230727901756125E-2</v>
      </c>
      <c r="Y101" s="473">
        <v>183.75</v>
      </c>
      <c r="Z101" s="473">
        <f t="shared" si="12"/>
        <v>-3.5130727901756122E-2</v>
      </c>
      <c r="AA101" s="473">
        <f t="shared" si="13"/>
        <v>-3.5230727901756125E-2</v>
      </c>
      <c r="AC101" s="473">
        <v>10.85</v>
      </c>
      <c r="AD101" s="473">
        <f t="shared" si="14"/>
        <v>3.6606621349691608E-2</v>
      </c>
      <c r="AE101" s="473">
        <f t="shared" si="15"/>
        <v>3.6506621349691605E-2</v>
      </c>
      <c r="AG101" s="473">
        <v>5.96</v>
      </c>
      <c r="AH101" s="473">
        <f t="shared" si="24"/>
        <v>-1.8288123994148527E-2</v>
      </c>
      <c r="AI101" s="473">
        <f t="shared" si="25"/>
        <v>-1.8388123994148527E-2</v>
      </c>
      <c r="AK101" s="473">
        <v>56</v>
      </c>
      <c r="AL101" s="473">
        <f t="shared" si="16"/>
        <v>-7.9603050598966954E-2</v>
      </c>
      <c r="AM101" s="473">
        <f t="shared" si="17"/>
        <v>-7.9703050598966957E-2</v>
      </c>
      <c r="AP101" s="473">
        <v>1883.95</v>
      </c>
      <c r="AQ101" s="473">
        <f t="shared" si="18"/>
        <v>6.1816510284721333E-3</v>
      </c>
      <c r="AR101" s="473">
        <f t="shared" si="19"/>
        <v>6.0816510284721331E-3</v>
      </c>
      <c r="AT101" s="473">
        <v>1364.39</v>
      </c>
      <c r="AU101" s="473">
        <f t="shared" si="6"/>
        <v>-4.2500806689512485E-4</v>
      </c>
      <c r="AV101" s="473">
        <f t="shared" si="20"/>
        <v>-5.2500806689512484E-4</v>
      </c>
      <c r="AX101" s="473">
        <v>22151.06</v>
      </c>
      <c r="AY101" s="473">
        <f t="shared" si="7"/>
        <v>-3.0494925227793668E-2</v>
      </c>
      <c r="AZ101" s="473">
        <f t="shared" si="21"/>
        <v>-3.0594925227793668E-2</v>
      </c>
    </row>
    <row r="102" spans="1:52">
      <c r="A102" s="403">
        <v>41759</v>
      </c>
      <c r="B102" s="405">
        <v>16081.88</v>
      </c>
      <c r="C102" s="402">
        <v>92.37</v>
      </c>
      <c r="D102" s="402">
        <v>91.9</v>
      </c>
      <c r="E102" s="407">
        <v>-2.3342083314561717E-2</v>
      </c>
      <c r="F102" s="407">
        <v>-1.4063939138607539E-3</v>
      </c>
      <c r="G102" s="407">
        <v>-2.7166547541909018E-3</v>
      </c>
      <c r="H102" s="406">
        <v>1E-4</v>
      </c>
      <c r="I102" s="407">
        <v>-2.3442083314561716E-2</v>
      </c>
      <c r="J102" s="407">
        <v>-1.506393913860754E-3</v>
      </c>
      <c r="K102" s="407">
        <v>-2.8166547541909016E-3</v>
      </c>
      <c r="M102" s="456">
        <v>66.73</v>
      </c>
      <c r="N102" s="456">
        <f t="shared" si="8"/>
        <v>-2.7492124595714804E-2</v>
      </c>
      <c r="O102" s="456">
        <f t="shared" si="9"/>
        <v>-2.7592124595714803E-2</v>
      </c>
      <c r="Q102" s="472">
        <v>62.93</v>
      </c>
      <c r="R102" s="472">
        <f t="shared" si="22"/>
        <v>-6.1782374739692437E-3</v>
      </c>
      <c r="S102" s="473">
        <f t="shared" si="10"/>
        <v>-6.2782374739692439E-3</v>
      </c>
      <c r="U102" s="473">
        <v>190.32</v>
      </c>
      <c r="V102" s="473">
        <f t="shared" si="23"/>
        <v>3.513072790175608E-2</v>
      </c>
      <c r="W102" s="473">
        <f t="shared" si="11"/>
        <v>3.5030727901756077E-2</v>
      </c>
      <c r="Y102" s="473">
        <v>190.32</v>
      </c>
      <c r="Z102" s="473">
        <f t="shared" si="12"/>
        <v>3.513072790175608E-2</v>
      </c>
      <c r="AA102" s="473">
        <f t="shared" si="13"/>
        <v>3.5030727901756077E-2</v>
      </c>
      <c r="AC102" s="473">
        <v>10.220000000000001</v>
      </c>
      <c r="AD102" s="473">
        <f t="shared" si="14"/>
        <v>-5.9818495210910101E-2</v>
      </c>
      <c r="AE102" s="473">
        <f t="shared" si="15"/>
        <v>-5.9918495210910104E-2</v>
      </c>
      <c r="AG102" s="473">
        <v>6.19</v>
      </c>
      <c r="AH102" s="473">
        <f t="shared" si="24"/>
        <v>3.7864605619246476E-2</v>
      </c>
      <c r="AI102" s="473">
        <f t="shared" si="25"/>
        <v>3.7764605619246473E-2</v>
      </c>
      <c r="AK102" s="473">
        <v>56.84</v>
      </c>
      <c r="AL102" s="473">
        <f t="shared" si="16"/>
        <v>1.4888612493750777E-2</v>
      </c>
      <c r="AM102" s="473">
        <f t="shared" si="17"/>
        <v>1.4788612493750778E-2</v>
      </c>
      <c r="AP102" s="473">
        <v>1923.57</v>
      </c>
      <c r="AQ102" s="473">
        <f t="shared" si="18"/>
        <v>2.0812198017934665E-2</v>
      </c>
      <c r="AR102" s="473">
        <f t="shared" si="19"/>
        <v>2.0712198017934665E-2</v>
      </c>
      <c r="AT102" s="473">
        <v>1402.08</v>
      </c>
      <c r="AU102" s="473">
        <f t="shared" si="6"/>
        <v>2.724940601887383E-2</v>
      </c>
      <c r="AV102" s="473">
        <f t="shared" si="20"/>
        <v>2.7149406018873831E-2</v>
      </c>
      <c r="AX102" s="473">
        <v>22133.97</v>
      </c>
      <c r="AY102" s="473">
        <f t="shared" si="7"/>
        <v>-7.7181841576626122E-4</v>
      </c>
      <c r="AZ102" s="473">
        <f t="shared" si="21"/>
        <v>-8.7181841576626127E-4</v>
      </c>
    </row>
    <row r="103" spans="1:52">
      <c r="A103" s="403">
        <v>41789</v>
      </c>
      <c r="B103" s="405">
        <v>16951.11</v>
      </c>
      <c r="C103" s="402">
        <v>91.63</v>
      </c>
      <c r="D103" s="402">
        <v>91.5</v>
      </c>
      <c r="E103" s="407">
        <v>5.2640146068330659E-2</v>
      </c>
      <c r="F103" s="407">
        <v>-8.043521627396924E-3</v>
      </c>
      <c r="G103" s="407">
        <v>-4.3620570801657455E-3</v>
      </c>
      <c r="H103" s="406">
        <v>1E-4</v>
      </c>
      <c r="I103" s="407">
        <v>5.2540146068330656E-2</v>
      </c>
      <c r="J103" s="407">
        <v>-8.1435216273969234E-3</v>
      </c>
      <c r="K103" s="407">
        <v>-4.4620570801657457E-3</v>
      </c>
      <c r="M103" s="456">
        <v>69.7</v>
      </c>
      <c r="N103" s="456">
        <f t="shared" si="8"/>
        <v>4.3545690850962979E-2</v>
      </c>
      <c r="O103" s="456">
        <f t="shared" si="9"/>
        <v>4.3445690850962976E-2</v>
      </c>
      <c r="Q103" s="472">
        <v>62.4</v>
      </c>
      <c r="R103" s="472">
        <f t="shared" si="22"/>
        <v>-8.4577221634602653E-3</v>
      </c>
      <c r="S103" s="473">
        <f t="shared" si="10"/>
        <v>-8.5577221634602647E-3</v>
      </c>
      <c r="U103" s="473">
        <v>196.8</v>
      </c>
      <c r="V103" s="473">
        <f t="shared" si="23"/>
        <v>3.3481118623450885E-2</v>
      </c>
      <c r="W103" s="473">
        <f t="shared" si="11"/>
        <v>3.3381118623450882E-2</v>
      </c>
      <c r="Y103" s="473">
        <v>196.8</v>
      </c>
      <c r="Z103" s="473">
        <f t="shared" si="12"/>
        <v>3.3481118623450885E-2</v>
      </c>
      <c r="AA103" s="473">
        <f t="shared" si="13"/>
        <v>3.3381118623450882E-2</v>
      </c>
      <c r="AC103" s="473">
        <v>11.76</v>
      </c>
      <c r="AD103" s="473">
        <f t="shared" si="14"/>
        <v>0.14035735769492244</v>
      </c>
      <c r="AE103" s="473">
        <f t="shared" si="15"/>
        <v>0.14025735769492245</v>
      </c>
      <c r="AG103" s="473">
        <v>5.82</v>
      </c>
      <c r="AH103" s="473">
        <f t="shared" si="24"/>
        <v>-6.1634824953158314E-2</v>
      </c>
      <c r="AI103" s="473">
        <f t="shared" si="25"/>
        <v>-6.1734824953158317E-2</v>
      </c>
      <c r="AK103" s="473">
        <v>62.77</v>
      </c>
      <c r="AL103" s="473">
        <f t="shared" si="16"/>
        <v>9.9236949100540567E-2</v>
      </c>
      <c r="AM103" s="473">
        <f t="shared" si="17"/>
        <v>9.9136949100540564E-2</v>
      </c>
      <c r="AP103" s="473">
        <v>1960.23</v>
      </c>
      <c r="AQ103" s="473">
        <f t="shared" si="18"/>
        <v>1.8878978754786419E-2</v>
      </c>
      <c r="AR103" s="473">
        <f t="shared" si="19"/>
        <v>1.8778978754786419E-2</v>
      </c>
      <c r="AT103" s="473">
        <v>1376.81</v>
      </c>
      <c r="AU103" s="473">
        <f t="shared" si="6"/>
        <v>-1.8187619217529195E-2</v>
      </c>
      <c r="AV103" s="473">
        <f t="shared" si="20"/>
        <v>-1.8287619217529194E-2</v>
      </c>
      <c r="AX103" s="473">
        <v>23081.65</v>
      </c>
      <c r="AY103" s="473">
        <f t="shared" si="7"/>
        <v>4.1924397091701648E-2</v>
      </c>
      <c r="AZ103" s="473">
        <f t="shared" si="21"/>
        <v>4.1824397091701646E-2</v>
      </c>
    </row>
    <row r="104" spans="1:52">
      <c r="A104" s="403">
        <v>41820</v>
      </c>
      <c r="B104" s="405">
        <v>16815.580000000002</v>
      </c>
      <c r="C104" s="402">
        <v>90.25</v>
      </c>
      <c r="D104" s="402">
        <v>90.2</v>
      </c>
      <c r="E104" s="407">
        <v>-8.0274807984067383E-3</v>
      </c>
      <c r="F104" s="407">
        <v>-1.5175131764131567E-2</v>
      </c>
      <c r="G104" s="407">
        <v>-1.4309545212897628E-2</v>
      </c>
      <c r="H104" s="406">
        <v>1E-4</v>
      </c>
      <c r="I104" s="407">
        <v>-8.1274807984067377E-3</v>
      </c>
      <c r="J104" s="407">
        <v>-1.5275131764131566E-2</v>
      </c>
      <c r="K104" s="407">
        <v>-1.4409545212897628E-2</v>
      </c>
      <c r="M104" s="456">
        <v>68.400000000000006</v>
      </c>
      <c r="N104" s="456">
        <f t="shared" si="8"/>
        <v>-1.8827493137973331E-2</v>
      </c>
      <c r="O104" s="456">
        <f t="shared" si="9"/>
        <v>-1.8927493137973331E-2</v>
      </c>
      <c r="Q104" s="472">
        <v>61.84</v>
      </c>
      <c r="R104" s="472">
        <f t="shared" ref="R104:R107" si="26">LN(Q104/Q103)</f>
        <v>-9.0148710962154269E-3</v>
      </c>
      <c r="S104" s="473">
        <f t="shared" si="10"/>
        <v>-9.1148710962154263E-3</v>
      </c>
      <c r="U104" s="473">
        <v>196.6</v>
      </c>
      <c r="V104" s="473">
        <f t="shared" ref="V104:V107" si="27">LN(U104/U103)</f>
        <v>-1.0167769050869464E-3</v>
      </c>
      <c r="W104" s="473">
        <f t="shared" si="11"/>
        <v>-1.1167769050869465E-3</v>
      </c>
      <c r="Y104" s="473">
        <v>196.6</v>
      </c>
      <c r="Z104" s="473">
        <f t="shared" si="12"/>
        <v>-1.0167769050869464E-3</v>
      </c>
      <c r="AA104" s="473">
        <f t="shared" si="13"/>
        <v>-1.1167769050869465E-3</v>
      </c>
      <c r="AC104" s="473">
        <v>13.88</v>
      </c>
      <c r="AD104" s="473">
        <f t="shared" si="14"/>
        <v>0.16574501260817764</v>
      </c>
      <c r="AE104" s="473">
        <f t="shared" si="15"/>
        <v>0.16564501260817766</v>
      </c>
      <c r="AG104" s="473">
        <v>5.3</v>
      </c>
      <c r="AH104" s="473">
        <f t="shared" ref="AH104:AH107" si="28">LN(AG104/AG103)</f>
        <v>-9.3593441185270437E-2</v>
      </c>
      <c r="AI104" s="473">
        <f t="shared" ref="AI104:AI107" si="29">AH104-H105</f>
        <v>-9.369344118527044E-2</v>
      </c>
      <c r="AK104" s="473">
        <v>64.8</v>
      </c>
      <c r="AL104" s="473">
        <f t="shared" si="16"/>
        <v>3.1828351028788532E-2</v>
      </c>
      <c r="AM104" s="473">
        <f t="shared" si="17"/>
        <v>3.1728351028788529E-2</v>
      </c>
      <c r="AP104" s="473">
        <v>1930.67</v>
      </c>
      <c r="AQ104" s="473">
        <f t="shared" si="18"/>
        <v>-1.5194720363435775E-2</v>
      </c>
      <c r="AR104" s="473">
        <f t="shared" si="19"/>
        <v>-1.5294720363435774E-2</v>
      </c>
      <c r="AT104" s="473">
        <v>1379.87</v>
      </c>
      <c r="AU104" s="473">
        <f t="shared" ref="AU104:AU107" si="30">LN(AT104/AT103)</f>
        <v>2.2200627253165491E-3</v>
      </c>
      <c r="AV104" s="473">
        <f t="shared" si="20"/>
        <v>2.1200627253165493E-3</v>
      </c>
      <c r="AX104" s="473">
        <v>23190.720000000001</v>
      </c>
      <c r="AY104" s="473">
        <f t="shared" ref="AY104:AY107" si="31">LN(AX104/AX103)</f>
        <v>4.7142690984097275E-3</v>
      </c>
      <c r="AZ104" s="473">
        <f t="shared" si="21"/>
        <v>4.6142690984097273E-3</v>
      </c>
    </row>
    <row r="105" spans="1:52">
      <c r="A105" s="403">
        <v>41851</v>
      </c>
      <c r="B105" s="405">
        <v>15790.67</v>
      </c>
      <c r="C105" s="402">
        <v>88.76</v>
      </c>
      <c r="D105" s="402">
        <v>88.22</v>
      </c>
      <c r="E105" s="407">
        <v>-6.2886578323275877E-2</v>
      </c>
      <c r="F105" s="407">
        <v>-1.6647499148597065E-2</v>
      </c>
      <c r="G105" s="407">
        <v>-2.2195732391784323E-2</v>
      </c>
      <c r="H105" s="406">
        <v>1E-4</v>
      </c>
      <c r="I105" s="407">
        <v>-6.298657832327588E-2</v>
      </c>
      <c r="J105" s="407">
        <v>-1.6747499148597064E-2</v>
      </c>
      <c r="K105" s="407">
        <v>-2.2295732391784322E-2</v>
      </c>
      <c r="M105" s="456">
        <v>61.88</v>
      </c>
      <c r="N105" s="456">
        <f t="shared" ref="N105:N107" si="32">LN(M105/M104)</f>
        <v>-0.10017579892363941</v>
      </c>
      <c r="O105" s="456">
        <f t="shared" ref="O105:O107" si="33">N105-H105</f>
        <v>-0.10027579892363941</v>
      </c>
      <c r="Q105" s="472">
        <v>62.6</v>
      </c>
      <c r="R105" s="472">
        <f t="shared" si="26"/>
        <v>1.2214873826886262E-2</v>
      </c>
      <c r="S105" s="473">
        <f t="shared" ref="S105:S107" si="34">R105-H105</f>
        <v>1.2114873826886263E-2</v>
      </c>
      <c r="U105" s="473">
        <v>49.5</v>
      </c>
      <c r="V105" s="473">
        <f t="shared" si="27"/>
        <v>-1.3791985381384215</v>
      </c>
      <c r="W105" s="473">
        <f t="shared" ref="W105:W107" si="35">V105-H105</f>
        <v>-1.3792985381384215</v>
      </c>
      <c r="Y105" s="473">
        <v>83.45</v>
      </c>
      <c r="Z105" s="473">
        <f t="shared" ref="Z105:Z107" si="36">LN(Y105/Y104)</f>
        <v>-0.85692355760522199</v>
      </c>
      <c r="AA105" s="473">
        <f t="shared" ref="AA105:AA107" si="37">Z105-H105</f>
        <v>-0.85702355760522198</v>
      </c>
      <c r="AC105" s="473">
        <v>13.88</v>
      </c>
      <c r="AD105" s="473">
        <f t="shared" ref="AD105:AD107" si="38">LN(AC105/AC104)</f>
        <v>0</v>
      </c>
      <c r="AE105" s="473">
        <f t="shared" ref="AE105:AE107" si="39">AD105-H105</f>
        <v>-1E-4</v>
      </c>
      <c r="AG105" s="473">
        <v>4.49</v>
      </c>
      <c r="AH105" s="473">
        <f t="shared" si="28"/>
        <v>-0.16585411880391318</v>
      </c>
      <c r="AI105" s="473">
        <f t="shared" si="29"/>
        <v>-0.16595411880391317</v>
      </c>
      <c r="AK105" s="473">
        <v>57.28</v>
      </c>
      <c r="AL105" s="473">
        <f t="shared" ref="AL105:AL107" si="40">LN(AK105/AK104)</f>
        <v>-0.12335408070583881</v>
      </c>
      <c r="AM105" s="473">
        <f t="shared" ref="AM105:AM107" si="41">AL105-H106</f>
        <v>-0.12345408070583881</v>
      </c>
      <c r="AP105" s="473">
        <v>2003.37</v>
      </c>
      <c r="AQ105" s="473">
        <f t="shared" ref="AQ105:AQ107" si="42">LN(AP105/AP104)</f>
        <v>3.6963669606978507E-2</v>
      </c>
      <c r="AR105" s="473">
        <f t="shared" ref="AR105:AR107" si="43">AQ105-H105</f>
        <v>3.6863669606978504E-2</v>
      </c>
      <c r="AT105" s="473">
        <v>1388.89</v>
      </c>
      <c r="AU105" s="473">
        <f t="shared" si="30"/>
        <v>6.5155751385253093E-3</v>
      </c>
      <c r="AV105" s="473">
        <f t="shared" ref="AV105:AV107" si="44">AU105-H105</f>
        <v>6.415575138525309E-3</v>
      </c>
      <c r="AX105" s="473">
        <v>24756.85</v>
      </c>
      <c r="AY105" s="473">
        <f t="shared" si="31"/>
        <v>6.5350019747434304E-2</v>
      </c>
      <c r="AZ105" s="473">
        <f t="shared" ref="AZ105:AZ107" si="45">AY105-H105</f>
        <v>6.5250019747434301E-2</v>
      </c>
    </row>
    <row r="106" spans="1:52">
      <c r="A106" s="403">
        <v>41880</v>
      </c>
      <c r="B106" s="405">
        <v>16085.29</v>
      </c>
      <c r="C106" s="402">
        <v>90.25</v>
      </c>
      <c r="D106" s="402">
        <v>89.11</v>
      </c>
      <c r="E106" s="407">
        <v>1.8485930461956821E-2</v>
      </c>
      <c r="F106" s="407">
        <v>1.664749914859712E-2</v>
      </c>
      <c r="G106" s="407">
        <v>1.0037866947834848E-2</v>
      </c>
      <c r="H106" s="406">
        <v>1E-4</v>
      </c>
      <c r="I106" s="407">
        <v>1.8385930461956822E-2</v>
      </c>
      <c r="J106" s="407">
        <v>1.6547499148597121E-2</v>
      </c>
      <c r="K106" s="407">
        <v>9.9378669478348489E-3</v>
      </c>
      <c r="M106" s="456">
        <v>62.24</v>
      </c>
      <c r="N106" s="456">
        <f t="shared" si="32"/>
        <v>5.8008541652707695E-3</v>
      </c>
      <c r="O106" s="456">
        <f t="shared" si="33"/>
        <v>5.7008541652707693E-3</v>
      </c>
      <c r="Q106" s="472">
        <v>56.69</v>
      </c>
      <c r="R106" s="472">
        <f t="shared" si="26"/>
        <v>-9.9167449769840627E-2</v>
      </c>
      <c r="S106" s="473">
        <f t="shared" si="34"/>
        <v>-9.9267449769840629E-2</v>
      </c>
      <c r="U106" s="473">
        <v>43.99</v>
      </c>
      <c r="V106" s="473">
        <f t="shared" si="27"/>
        <v>-0.11801033421401616</v>
      </c>
      <c r="W106" s="473">
        <f t="shared" si="35"/>
        <v>-0.11811033421401616</v>
      </c>
      <c r="Y106" s="473">
        <v>78.45</v>
      </c>
      <c r="Z106" s="473">
        <f t="shared" si="36"/>
        <v>-6.1786170928802536E-2</v>
      </c>
      <c r="AA106" s="473">
        <f t="shared" si="37"/>
        <v>-6.1886170928802539E-2</v>
      </c>
      <c r="AC106" s="473">
        <v>14.36</v>
      </c>
      <c r="AD106" s="473">
        <f t="shared" si="38"/>
        <v>3.3997608541419623E-2</v>
      </c>
      <c r="AE106" s="473">
        <f t="shared" si="39"/>
        <v>3.389760854141962E-2</v>
      </c>
      <c r="AG106" s="473">
        <v>4.2</v>
      </c>
      <c r="AH106" s="473">
        <f t="shared" si="28"/>
        <v>-6.6768176464840262E-2</v>
      </c>
      <c r="AI106" s="473">
        <f t="shared" si="29"/>
        <v>-6.6868176464840265E-2</v>
      </c>
      <c r="AK106" s="473">
        <v>58.63</v>
      </c>
      <c r="AL106" s="473">
        <f t="shared" si="40"/>
        <v>2.3294988323733473E-2</v>
      </c>
      <c r="AM106" s="473">
        <f t="shared" si="41"/>
        <v>2.3194988323733474E-2</v>
      </c>
      <c r="AP106" s="473">
        <v>1972.29</v>
      </c>
      <c r="AQ106" s="473">
        <f t="shared" si="42"/>
        <v>-1.563545834824645E-2</v>
      </c>
      <c r="AR106" s="473">
        <f t="shared" si="43"/>
        <v>-1.573545834824645E-2</v>
      </c>
      <c r="AT106" s="473">
        <v>1403</v>
      </c>
      <c r="AU106" s="473">
        <f t="shared" si="30"/>
        <v>1.0107934148607795E-2</v>
      </c>
      <c r="AV106" s="473">
        <f t="shared" si="44"/>
        <v>1.0007934148607796E-2</v>
      </c>
      <c r="AX106" s="473">
        <v>24742.06</v>
      </c>
      <c r="AY106" s="473">
        <f t="shared" si="31"/>
        <v>-5.9758893438814512E-4</v>
      </c>
      <c r="AZ106" s="473">
        <f t="shared" si="45"/>
        <v>-6.9758893438814516E-4</v>
      </c>
    </row>
    <row r="107" spans="1:52">
      <c r="A107" s="403">
        <v>41912</v>
      </c>
      <c r="B107" s="405">
        <v>15994.96</v>
      </c>
      <c r="C107" s="402">
        <v>89.1</v>
      </c>
      <c r="D107" s="402">
        <v>88.22</v>
      </c>
      <c r="E107" s="407">
        <v>-5.6315171313751217E-3</v>
      </c>
      <c r="F107" s="407">
        <v>-1.2824262736226709E-2</v>
      </c>
      <c r="G107" s="407">
        <v>-1.0037866947834762E-2</v>
      </c>
      <c r="H107" s="406">
        <v>1E-4</v>
      </c>
      <c r="I107" s="407">
        <v>-5.7315171313751219E-3</v>
      </c>
      <c r="J107" s="407">
        <v>-1.2924262736226709E-2</v>
      </c>
      <c r="K107" s="407">
        <v>-1.0137866947834761E-2</v>
      </c>
      <c r="M107" s="456">
        <v>60.73</v>
      </c>
      <c r="N107" s="456">
        <f t="shared" si="32"/>
        <v>-2.4560069960652298E-2</v>
      </c>
      <c r="O107" s="456">
        <f t="shared" si="33"/>
        <v>-2.4660069960652297E-2</v>
      </c>
      <c r="Q107" s="472">
        <v>56.02</v>
      </c>
      <c r="R107" s="472">
        <f t="shared" si="26"/>
        <v>-1.1889058504249733E-2</v>
      </c>
      <c r="S107" s="473">
        <f t="shared" si="34"/>
        <v>-1.1989058504249733E-2</v>
      </c>
      <c r="U107" s="473">
        <v>43.3</v>
      </c>
      <c r="V107" s="473">
        <f t="shared" si="27"/>
        <v>-1.5809700352184364E-2</v>
      </c>
      <c r="W107" s="473">
        <f t="shared" si="35"/>
        <v>-1.5909700352184364E-2</v>
      </c>
      <c r="Y107" s="473">
        <v>77.099999999999994</v>
      </c>
      <c r="Z107" s="473">
        <f t="shared" si="36"/>
        <v>-1.7358198609757864E-2</v>
      </c>
      <c r="AA107" s="473">
        <f t="shared" si="37"/>
        <v>-1.7458198609757863E-2</v>
      </c>
      <c r="AC107" s="473">
        <v>14.56</v>
      </c>
      <c r="AD107" s="473">
        <f t="shared" si="38"/>
        <v>1.3831479148461799E-2</v>
      </c>
      <c r="AE107" s="473">
        <f t="shared" si="39"/>
        <v>1.37314791484618E-2</v>
      </c>
      <c r="AG107" s="473">
        <v>4.04</v>
      </c>
      <c r="AH107" s="473">
        <f t="shared" si="28"/>
        <v>-3.8839833316264012E-2</v>
      </c>
      <c r="AI107" s="473">
        <f t="shared" si="29"/>
        <v>-3.8839833316264012E-2</v>
      </c>
      <c r="AK107" s="473">
        <v>57.83</v>
      </c>
      <c r="AL107" s="473">
        <f t="shared" si="40"/>
        <v>-1.3738838805996868E-2</v>
      </c>
      <c r="AM107" s="473">
        <f t="shared" si="41"/>
        <v>-1.3738838805996868E-2</v>
      </c>
      <c r="AP107" s="473">
        <v>1946.16</v>
      </c>
      <c r="AQ107" s="473">
        <f t="shared" si="42"/>
        <v>-1.3337103869609681E-2</v>
      </c>
      <c r="AR107" s="473">
        <f t="shared" si="43"/>
        <v>-1.343710386960968E-2</v>
      </c>
      <c r="AT107" s="473">
        <v>1381.59</v>
      </c>
      <c r="AU107" s="473">
        <f t="shared" si="30"/>
        <v>-1.5377791281131507E-2</v>
      </c>
      <c r="AV107" s="473">
        <f t="shared" si="44"/>
        <v>-1.5477791281131506E-2</v>
      </c>
      <c r="AX107" s="473">
        <v>22932.98</v>
      </c>
      <c r="AY107" s="473">
        <f t="shared" si="31"/>
        <v>-7.5928580288215267E-2</v>
      </c>
      <c r="AZ107" s="473">
        <f t="shared" si="45"/>
        <v>-7.6028580288215269E-2</v>
      </c>
    </row>
    <row r="110" spans="1:52">
      <c r="A110" s="180" t="s">
        <v>484</v>
      </c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</row>
    <row r="111" spans="1:52">
      <c r="A111" s="408"/>
      <c r="B111" s="584" t="s">
        <v>337</v>
      </c>
      <c r="C111" s="584"/>
      <c r="D111" s="408"/>
      <c r="E111" s="408"/>
      <c r="F111" s="408"/>
      <c r="G111" s="408"/>
      <c r="H111" s="408"/>
      <c r="I111" s="408"/>
      <c r="J111" s="408"/>
      <c r="K111" s="408"/>
      <c r="L111" s="408"/>
      <c r="M111" s="408"/>
      <c r="N111" s="408"/>
      <c r="O111" s="408"/>
    </row>
    <row r="112" spans="1:52">
      <c r="A112" s="371" t="s">
        <v>338</v>
      </c>
      <c r="B112" s="371" t="s">
        <v>343</v>
      </c>
      <c r="C112" s="371" t="s">
        <v>344</v>
      </c>
      <c r="D112" s="408"/>
      <c r="E112" s="408"/>
      <c r="F112" s="408"/>
      <c r="G112" s="408"/>
      <c r="H112" s="408"/>
      <c r="I112" s="408"/>
      <c r="J112" s="408"/>
      <c r="K112" s="408"/>
      <c r="L112" s="408"/>
      <c r="M112" s="408"/>
      <c r="N112" s="408"/>
      <c r="O112" s="408"/>
    </row>
    <row r="113" spans="1:15">
      <c r="A113" s="409">
        <v>39871</v>
      </c>
      <c r="B113" s="411">
        <v>-0.26230240111670883</v>
      </c>
      <c r="C113" s="411">
        <v>-1.4797141463796121E-2</v>
      </c>
      <c r="D113" s="408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</row>
    <row r="114" spans="1:15">
      <c r="A114" s="409">
        <v>39903</v>
      </c>
      <c r="B114" s="411">
        <v>0.11932924807946083</v>
      </c>
      <c r="C114" s="411">
        <v>0.23249901563377703</v>
      </c>
      <c r="D114" s="408"/>
      <c r="E114" s="416"/>
      <c r="F114" s="408" t="s">
        <v>346</v>
      </c>
      <c r="G114" s="408"/>
      <c r="H114" s="408"/>
      <c r="I114" s="408"/>
      <c r="J114" s="408"/>
      <c r="K114" s="408"/>
      <c r="L114" s="408"/>
      <c r="M114" s="408"/>
      <c r="N114" s="408"/>
      <c r="O114" s="416"/>
    </row>
    <row r="115" spans="1:15" ht="15.75" thickBot="1">
      <c r="A115" s="409">
        <v>39933</v>
      </c>
      <c r="B115" s="411">
        <v>0.18059434241407943</v>
      </c>
      <c r="C115" s="411">
        <v>0.1221544060588268</v>
      </c>
      <c r="D115" s="408"/>
      <c r="E115" s="416"/>
      <c r="F115" s="408"/>
      <c r="G115" s="408"/>
      <c r="H115" s="408"/>
      <c r="I115" s="408"/>
      <c r="J115" s="408"/>
      <c r="K115" s="408"/>
      <c r="L115" s="408"/>
      <c r="M115" s="408"/>
      <c r="N115" s="408"/>
      <c r="O115" s="416"/>
    </row>
    <row r="116" spans="1:15">
      <c r="A116" s="409">
        <v>39962</v>
      </c>
      <c r="B116" s="411">
        <v>4.0771176666554824E-2</v>
      </c>
      <c r="C116" s="411">
        <v>1.0229336513882734E-2</v>
      </c>
      <c r="D116" s="408"/>
      <c r="E116" s="416"/>
      <c r="F116" s="415" t="s">
        <v>347</v>
      </c>
      <c r="G116" s="415"/>
      <c r="H116" s="408"/>
      <c r="I116" s="408"/>
      <c r="J116" s="408"/>
      <c r="K116" s="408"/>
      <c r="L116" s="408"/>
      <c r="M116" s="408"/>
      <c r="N116" s="408"/>
      <c r="O116" s="416"/>
    </row>
    <row r="117" spans="1:15">
      <c r="A117" s="409">
        <v>39993</v>
      </c>
      <c r="B117" s="411">
        <v>-2.7472191223026195E-2</v>
      </c>
      <c r="C117" s="411">
        <v>-0.14349731562624252</v>
      </c>
      <c r="D117" s="408"/>
      <c r="E117" s="416"/>
      <c r="F117" s="412" t="s">
        <v>348</v>
      </c>
      <c r="G117" s="412">
        <v>0.63906618426182893</v>
      </c>
      <c r="H117" s="408"/>
      <c r="I117" s="408"/>
      <c r="J117" s="408"/>
      <c r="K117" s="408"/>
      <c r="L117" s="408"/>
      <c r="M117" s="408"/>
      <c r="N117" s="408"/>
      <c r="O117" s="416"/>
    </row>
    <row r="118" spans="1:15">
      <c r="A118" s="409">
        <v>40025</v>
      </c>
      <c r="B118" s="411">
        <v>7.3848543636432631E-2</v>
      </c>
      <c r="C118" s="411">
        <v>0.15033734470259727</v>
      </c>
      <c r="D118" s="408"/>
      <c r="E118" s="416"/>
      <c r="F118" s="412" t="s">
        <v>349</v>
      </c>
      <c r="G118" s="412">
        <v>0.4084055878669739</v>
      </c>
      <c r="H118" s="408"/>
      <c r="I118" s="408"/>
      <c r="J118" s="408"/>
      <c r="K118" s="408"/>
      <c r="L118" s="408"/>
      <c r="M118" s="408"/>
      <c r="N118" s="408"/>
      <c r="O118" s="416"/>
    </row>
    <row r="119" spans="1:15">
      <c r="A119" s="409">
        <v>40056</v>
      </c>
      <c r="B119" s="411">
        <v>8.0156926126597555E-2</v>
      </c>
      <c r="C119" s="411">
        <v>0.12989090630249747</v>
      </c>
      <c r="D119" s="408"/>
      <c r="E119" s="416"/>
      <c r="F119" s="412" t="s">
        <v>350</v>
      </c>
      <c r="G119" s="412">
        <v>0.39944203616798868</v>
      </c>
      <c r="H119" s="408"/>
      <c r="I119" s="408"/>
      <c r="J119" s="408"/>
      <c r="K119" s="408"/>
      <c r="L119" s="408"/>
      <c r="M119" s="408"/>
      <c r="N119" s="408"/>
      <c r="O119" s="416"/>
    </row>
    <row r="120" spans="1:15">
      <c r="A120" s="409">
        <v>40086</v>
      </c>
      <c r="B120" s="411">
        <v>9.0250987694882184E-2</v>
      </c>
      <c r="C120" s="411">
        <v>3.7633414194332929E-2</v>
      </c>
      <c r="D120" s="408"/>
      <c r="E120" s="416"/>
      <c r="F120" s="412" t="s">
        <v>351</v>
      </c>
      <c r="G120" s="412">
        <v>6.7049891096684536E-2</v>
      </c>
      <c r="H120" s="408"/>
      <c r="I120" s="408"/>
      <c r="J120" s="408"/>
      <c r="K120" s="408"/>
      <c r="L120" s="408"/>
      <c r="M120" s="408"/>
      <c r="N120" s="408"/>
      <c r="O120" s="416"/>
    </row>
    <row r="121" spans="1:15" ht="15.75" thickBot="1">
      <c r="A121" s="409">
        <v>40116</v>
      </c>
      <c r="B121" s="411">
        <v>-8.9077510158436929E-2</v>
      </c>
      <c r="C121" s="411">
        <v>-4.0625412079436131E-3</v>
      </c>
      <c r="D121" s="408"/>
      <c r="E121" s="416"/>
      <c r="F121" s="413" t="s">
        <v>352</v>
      </c>
      <c r="G121" s="413">
        <v>68</v>
      </c>
      <c r="H121" s="408"/>
      <c r="I121" s="408"/>
      <c r="J121" s="408"/>
      <c r="K121" s="408"/>
      <c r="L121" s="408"/>
      <c r="M121" s="408"/>
      <c r="N121" s="408"/>
      <c r="O121" s="416"/>
    </row>
    <row r="122" spans="1:15">
      <c r="A122" s="409">
        <v>40147</v>
      </c>
      <c r="B122" s="411">
        <v>5.31107012224405E-2</v>
      </c>
      <c r="C122" s="411">
        <v>-3.3124465039811909E-2</v>
      </c>
      <c r="D122" s="408"/>
      <c r="E122" s="416"/>
      <c r="F122" s="408"/>
      <c r="G122" s="408"/>
      <c r="H122" s="408"/>
      <c r="I122" s="408"/>
      <c r="J122" s="408"/>
      <c r="K122" s="408"/>
      <c r="L122" s="408"/>
      <c r="M122" s="408"/>
      <c r="N122" s="408"/>
      <c r="O122" s="416"/>
    </row>
    <row r="123" spans="1:15" ht="15.75" thickBot="1">
      <c r="A123" s="409">
        <v>40178</v>
      </c>
      <c r="B123" s="411">
        <v>9.192964004899723E-2</v>
      </c>
      <c r="C123" s="411">
        <v>2.5133864897653319E-2</v>
      </c>
      <c r="D123" s="408"/>
      <c r="E123" s="416"/>
      <c r="F123" s="408" t="s">
        <v>353</v>
      </c>
      <c r="G123" s="408"/>
      <c r="H123" s="408"/>
      <c r="I123" s="408"/>
      <c r="J123" s="408"/>
      <c r="K123" s="408"/>
      <c r="L123" s="408"/>
      <c r="M123" s="408"/>
      <c r="N123" s="408"/>
      <c r="O123" s="416"/>
    </row>
    <row r="124" spans="1:15">
      <c r="A124" s="409">
        <v>40207</v>
      </c>
      <c r="B124" s="411">
        <v>-4.2884783188096215E-2</v>
      </c>
      <c r="C124" s="411">
        <v>-8.3315554433254821E-2</v>
      </c>
      <c r="D124" s="408"/>
      <c r="E124" s="416"/>
      <c r="F124" s="414"/>
      <c r="G124" s="414" t="s">
        <v>354</v>
      </c>
      <c r="H124" s="414" t="s">
        <v>355</v>
      </c>
      <c r="I124" s="414" t="s">
        <v>356</v>
      </c>
      <c r="J124" s="414" t="s">
        <v>357</v>
      </c>
      <c r="K124" s="414" t="s">
        <v>358</v>
      </c>
      <c r="L124" s="408"/>
      <c r="M124" s="408"/>
      <c r="N124" s="408"/>
      <c r="O124" s="416"/>
    </row>
    <row r="125" spans="1:15">
      <c r="A125" s="409">
        <v>40235</v>
      </c>
      <c r="B125" s="411">
        <v>3.6905313920108929E-2</v>
      </c>
      <c r="C125" s="411">
        <v>8.4751174970545365E-2</v>
      </c>
      <c r="D125" s="408"/>
      <c r="E125" s="416"/>
      <c r="F125" s="412" t="s">
        <v>359</v>
      </c>
      <c r="G125" s="412">
        <v>1</v>
      </c>
      <c r="H125" s="412">
        <v>0.20483666739733647</v>
      </c>
      <c r="I125" s="412">
        <v>0.20483666739733647</v>
      </c>
      <c r="J125" s="412">
        <v>45.56291987619251</v>
      </c>
      <c r="K125" s="412">
        <v>4.4973262004766159E-9</v>
      </c>
      <c r="L125" s="408"/>
      <c r="M125" s="408"/>
      <c r="N125" s="408"/>
      <c r="O125" s="416"/>
    </row>
    <row r="126" spans="1:15">
      <c r="A126" s="409">
        <v>40268</v>
      </c>
      <c r="B126" s="411">
        <v>6.4415505968756781E-2</v>
      </c>
      <c r="C126" s="411">
        <v>0.15142719948571362</v>
      </c>
      <c r="D126" s="408"/>
      <c r="E126" s="416"/>
      <c r="F126" s="412" t="s">
        <v>360</v>
      </c>
      <c r="G126" s="412">
        <v>66</v>
      </c>
      <c r="H126" s="412">
        <v>0.2967154011410989</v>
      </c>
      <c r="I126" s="412">
        <v>4.4956878960772557E-3</v>
      </c>
      <c r="J126" s="412"/>
      <c r="K126" s="412"/>
      <c r="L126" s="408"/>
      <c r="M126" s="408"/>
      <c r="N126" s="408"/>
      <c r="O126" s="416"/>
    </row>
    <row r="127" spans="1:15" ht="15.75" thickBot="1">
      <c r="A127" s="409">
        <v>40298</v>
      </c>
      <c r="B127" s="411">
        <v>-4.5255191984708149E-2</v>
      </c>
      <c r="C127" s="411">
        <v>5.426286059245871E-2</v>
      </c>
      <c r="D127" s="408"/>
      <c r="E127" s="416"/>
      <c r="F127" s="413" t="s">
        <v>81</v>
      </c>
      <c r="G127" s="413">
        <v>67</v>
      </c>
      <c r="H127" s="413">
        <v>0.50155206853843537</v>
      </c>
      <c r="I127" s="413"/>
      <c r="J127" s="413"/>
      <c r="K127" s="413"/>
      <c r="L127" s="408"/>
      <c r="M127" s="408"/>
      <c r="N127" s="408"/>
      <c r="O127" s="416"/>
    </row>
    <row r="128" spans="1:15" ht="15.75" thickBot="1">
      <c r="A128" s="409">
        <v>40329</v>
      </c>
      <c r="B128" s="411">
        <v>2.9755833186030169E-2</v>
      </c>
      <c r="C128" s="411">
        <v>4.8225548841440036E-2</v>
      </c>
      <c r="D128" s="408"/>
      <c r="E128" s="416"/>
      <c r="F128" s="408"/>
      <c r="G128" s="408"/>
      <c r="H128" s="408"/>
      <c r="I128" s="408"/>
      <c r="J128" s="408"/>
      <c r="K128" s="408"/>
      <c r="L128" s="408"/>
      <c r="M128" s="408"/>
      <c r="N128" s="408"/>
      <c r="O128" s="416"/>
    </row>
    <row r="129" spans="1:15">
      <c r="A129" s="409">
        <v>40359</v>
      </c>
      <c r="B129" s="411">
        <v>-3.7709955017587601E-2</v>
      </c>
      <c r="C129" s="411">
        <v>-5.2127337328654912E-2</v>
      </c>
      <c r="D129" s="408"/>
      <c r="E129" s="416"/>
      <c r="F129" s="414"/>
      <c r="G129" s="414" t="s">
        <v>361</v>
      </c>
      <c r="H129" s="414" t="s">
        <v>351</v>
      </c>
      <c r="I129" s="414" t="s">
        <v>362</v>
      </c>
      <c r="J129" s="414" t="s">
        <v>363</v>
      </c>
      <c r="K129" s="414" t="s">
        <v>364</v>
      </c>
      <c r="L129" s="414" t="s">
        <v>365</v>
      </c>
      <c r="M129" s="414" t="s">
        <v>366</v>
      </c>
      <c r="N129" s="414" t="s">
        <v>367</v>
      </c>
      <c r="O129" s="416"/>
    </row>
    <row r="130" spans="1:15">
      <c r="A130" s="409">
        <v>40389</v>
      </c>
      <c r="B130" s="411">
        <v>9.0006769907380491E-2</v>
      </c>
      <c r="C130" s="411">
        <v>4.7976436182551187E-2</v>
      </c>
      <c r="D130" s="408"/>
      <c r="E130" s="416"/>
      <c r="F130" s="412" t="s">
        <v>368</v>
      </c>
      <c r="G130" s="412">
        <v>1.470741598923752E-3</v>
      </c>
      <c r="H130" s="412">
        <v>8.3587266656083622E-3</v>
      </c>
      <c r="I130" s="412">
        <v>0.17595282843439036</v>
      </c>
      <c r="J130" s="412">
        <v>0.86086976054215958</v>
      </c>
      <c r="K130" s="412">
        <v>-1.5217994649377804E-2</v>
      </c>
      <c r="L130" s="412">
        <v>1.8159477847225308E-2</v>
      </c>
      <c r="M130" s="412">
        <v>-1.5217994649377804E-2</v>
      </c>
      <c r="N130" s="412">
        <v>1.8159477847225308E-2</v>
      </c>
      <c r="O130" s="416"/>
    </row>
    <row r="131" spans="1:15" ht="15.75" thickBot="1">
      <c r="A131" s="409">
        <v>40421</v>
      </c>
      <c r="B131" s="411">
        <v>-1.2385438013695058E-2</v>
      </c>
      <c r="C131" s="411">
        <v>1.2823343226282247E-2</v>
      </c>
      <c r="D131" s="408"/>
      <c r="E131" s="416"/>
      <c r="F131" s="413" t="s">
        <v>369</v>
      </c>
      <c r="G131" s="413">
        <v>0.83472644028939424</v>
      </c>
      <c r="H131" s="413">
        <v>0.1236626065409277</v>
      </c>
      <c r="I131" s="413">
        <v>6.7500311018685428</v>
      </c>
      <c r="J131" s="413">
        <v>4.4973262004764199E-9</v>
      </c>
      <c r="K131" s="413">
        <v>0.58782608011487858</v>
      </c>
      <c r="L131" s="413">
        <v>1.08162680046391</v>
      </c>
      <c r="M131" s="413">
        <v>0.58782608011487858</v>
      </c>
      <c r="N131" s="413">
        <v>1.08162680046391</v>
      </c>
      <c r="O131" s="416"/>
    </row>
    <row r="132" spans="1:15">
      <c r="A132" s="409">
        <v>40451</v>
      </c>
      <c r="B132" s="411">
        <v>2.8220625252513353E-2</v>
      </c>
      <c r="C132" s="411">
        <v>9.8060899165431439E-2</v>
      </c>
      <c r="D132" s="408"/>
      <c r="E132" s="416"/>
      <c r="F132" s="408"/>
      <c r="G132" s="408"/>
      <c r="H132" s="408"/>
      <c r="I132" s="408"/>
      <c r="J132" s="408"/>
      <c r="K132" s="408"/>
      <c r="L132" s="408"/>
      <c r="M132" s="408"/>
      <c r="N132" s="408"/>
      <c r="O132" s="416"/>
    </row>
    <row r="133" spans="1:15">
      <c r="A133" s="409">
        <v>40480</v>
      </c>
      <c r="B133" s="411">
        <v>7.6210499520714528E-2</v>
      </c>
      <c r="C133" s="411">
        <v>1.2347510939342452E-2</v>
      </c>
      <c r="D133" s="408"/>
      <c r="E133" s="416"/>
      <c r="F133" s="408"/>
      <c r="G133" s="408"/>
      <c r="H133" s="408"/>
      <c r="I133" s="408"/>
      <c r="J133" s="410" t="s">
        <v>370</v>
      </c>
      <c r="K133" s="417">
        <v>1.470741598923752E-3</v>
      </c>
      <c r="L133" s="410" t="s">
        <v>371</v>
      </c>
      <c r="M133" s="417">
        <v>1.7792364738019817E-2</v>
      </c>
      <c r="N133" s="408"/>
      <c r="O133" s="416"/>
    </row>
    <row r="134" spans="1:15">
      <c r="A134" s="409">
        <v>40512</v>
      </c>
      <c r="B134" s="411">
        <v>3.7718481345441021E-2</v>
      </c>
      <c r="C134" s="411">
        <v>0.17526249921186629</v>
      </c>
      <c r="D134" s="408"/>
      <c r="E134" s="416"/>
      <c r="F134" s="408"/>
      <c r="G134" s="408"/>
      <c r="H134" s="408"/>
      <c r="I134" s="408"/>
      <c r="J134" s="410" t="s">
        <v>372</v>
      </c>
      <c r="K134" s="418">
        <v>8.3587266656083622E-3</v>
      </c>
      <c r="L134" s="408"/>
      <c r="M134" s="408"/>
      <c r="N134" s="408"/>
      <c r="O134" s="416"/>
    </row>
    <row r="135" spans="1:15">
      <c r="A135" s="409">
        <v>40542</v>
      </c>
      <c r="B135" s="411">
        <v>4.191767668993418E-2</v>
      </c>
      <c r="C135" s="411">
        <v>-2.9251000324885E-2</v>
      </c>
      <c r="D135" s="408"/>
      <c r="E135" s="416"/>
      <c r="F135" s="416"/>
      <c r="G135" s="416"/>
      <c r="H135" s="416"/>
      <c r="I135" s="416"/>
      <c r="J135" s="410" t="s">
        <v>373</v>
      </c>
      <c r="K135" s="408"/>
      <c r="L135" s="408"/>
      <c r="M135" s="408"/>
      <c r="N135" s="408"/>
      <c r="O135" s="416"/>
    </row>
    <row r="136" spans="1:15">
      <c r="A136" s="409">
        <v>40574</v>
      </c>
      <c r="B136" s="411">
        <v>6.109740027209546E-3</v>
      </c>
      <c r="C136" s="411">
        <v>-0.11834195558291205</v>
      </c>
      <c r="D136" s="408"/>
      <c r="E136" s="416"/>
      <c r="F136" s="416"/>
      <c r="G136" s="416"/>
      <c r="H136" s="416"/>
      <c r="I136" s="416"/>
      <c r="J136" s="393">
        <v>-1.4912362665668637E-2</v>
      </c>
      <c r="K136" s="392">
        <v>1.7853845863516141E-2</v>
      </c>
      <c r="L136" s="410" t="s">
        <v>374</v>
      </c>
      <c r="M136" s="408"/>
      <c r="N136" s="408"/>
      <c r="O136" s="416"/>
    </row>
    <row r="137" spans="1:15">
      <c r="A137" s="409">
        <v>40602</v>
      </c>
      <c r="B137" s="411">
        <v>-5.906995464956607E-3</v>
      </c>
      <c r="C137" s="411">
        <v>7.3773610376186932E-2</v>
      </c>
      <c r="D137" s="408"/>
      <c r="E137" s="416"/>
      <c r="F137" s="416"/>
      <c r="G137" s="416"/>
      <c r="H137" s="416"/>
      <c r="I137" s="416"/>
      <c r="J137" s="416"/>
      <c r="K137" s="416"/>
      <c r="L137" s="416"/>
      <c r="M137" s="416"/>
      <c r="N137" s="408"/>
      <c r="O137" s="416"/>
    </row>
    <row r="138" spans="1:15">
      <c r="A138" s="409">
        <v>40633</v>
      </c>
      <c r="B138" s="411">
        <v>3.6587829621655139E-2</v>
      </c>
      <c r="C138" s="411">
        <v>1.0675724427892854E-2</v>
      </c>
      <c r="D138" s="408"/>
      <c r="E138" s="416"/>
      <c r="F138" s="416"/>
      <c r="G138" s="416"/>
      <c r="H138" s="416" t="s">
        <v>375</v>
      </c>
      <c r="I138" s="416"/>
      <c r="J138" s="410" t="s">
        <v>376</v>
      </c>
      <c r="K138" s="416"/>
      <c r="L138" s="416"/>
      <c r="M138" s="416"/>
      <c r="N138" s="408"/>
      <c r="O138" s="416"/>
    </row>
    <row r="139" spans="1:15">
      <c r="A139" s="409">
        <v>40662</v>
      </c>
      <c r="B139" s="411">
        <v>1.7662856365521975E-2</v>
      </c>
      <c r="C139" s="411">
        <v>4.0914004666125277E-2</v>
      </c>
      <c r="D139" s="408"/>
      <c r="E139" s="416"/>
      <c r="F139" s="416"/>
      <c r="G139" s="416"/>
      <c r="H139" s="416"/>
      <c r="I139" s="416"/>
      <c r="J139" s="408"/>
      <c r="K139" s="408"/>
      <c r="L139" s="408"/>
      <c r="M139" s="408"/>
      <c r="N139" s="408"/>
      <c r="O139" s="416"/>
    </row>
    <row r="140" spans="1:15">
      <c r="A140" s="409">
        <v>40694</v>
      </c>
      <c r="B140" s="411">
        <v>-6.7814977665773338E-3</v>
      </c>
      <c r="C140" s="411">
        <v>2.6754346578256018E-2</v>
      </c>
      <c r="D140" s="408"/>
      <c r="E140" s="416"/>
      <c r="F140" s="416"/>
      <c r="G140" s="416"/>
      <c r="H140" s="416"/>
      <c r="I140" s="416"/>
      <c r="J140" s="416"/>
      <c r="K140" s="416"/>
      <c r="L140" s="416"/>
      <c r="M140" s="416"/>
      <c r="N140" s="416"/>
      <c r="O140" s="416"/>
    </row>
    <row r="141" spans="1:15">
      <c r="A141" s="409">
        <v>40724</v>
      </c>
      <c r="B141" s="411">
        <v>3.7308061621481516E-2</v>
      </c>
      <c r="C141" s="411">
        <v>-2.7168685878187087E-2</v>
      </c>
      <c r="D141" s="408"/>
      <c r="E141" s="416"/>
      <c r="F141" s="416"/>
      <c r="G141" s="416"/>
      <c r="H141" s="416"/>
      <c r="I141" s="416"/>
      <c r="J141" s="416"/>
      <c r="K141" s="416"/>
      <c r="L141" s="416"/>
      <c r="M141" s="416"/>
      <c r="N141" s="416"/>
      <c r="O141" s="416"/>
    </row>
    <row r="142" spans="1:15">
      <c r="A142" s="409">
        <v>40753</v>
      </c>
      <c r="B142" s="411">
        <v>-0.10764252622975069</v>
      </c>
      <c r="C142" s="411">
        <v>-0.20426613884408845</v>
      </c>
      <c r="D142" s="408"/>
      <c r="E142" s="416"/>
      <c r="F142" s="416"/>
      <c r="G142" s="416"/>
      <c r="H142" s="416"/>
      <c r="I142" s="416"/>
      <c r="J142" s="416"/>
      <c r="K142" s="416"/>
      <c r="L142" s="416"/>
      <c r="M142" s="416"/>
      <c r="N142" s="416"/>
      <c r="O142" s="416"/>
    </row>
    <row r="143" spans="1:15">
      <c r="A143" s="409">
        <v>40786</v>
      </c>
      <c r="B143" s="411">
        <v>-0.1193717901832561</v>
      </c>
      <c r="C143" s="411">
        <v>-0.23541140412443595</v>
      </c>
      <c r="D143" s="408"/>
      <c r="E143" s="416"/>
      <c r="F143" s="416"/>
      <c r="G143" s="416"/>
      <c r="H143" s="416"/>
      <c r="I143" s="416"/>
      <c r="J143" s="416"/>
      <c r="K143" s="416"/>
      <c r="L143" s="416"/>
      <c r="M143" s="416"/>
      <c r="N143" s="416"/>
      <c r="O143" s="416"/>
    </row>
    <row r="144" spans="1:15">
      <c r="A144" s="409">
        <v>40816</v>
      </c>
      <c r="B144" s="411">
        <v>-0.12714417548482571</v>
      </c>
      <c r="C144" s="411">
        <v>-0.12974199816593188</v>
      </c>
      <c r="D144" s="408"/>
      <c r="E144" s="416"/>
      <c r="F144" s="416"/>
      <c r="G144" s="416"/>
      <c r="H144" s="416"/>
      <c r="I144" s="416"/>
      <c r="J144" s="416"/>
      <c r="K144" s="416"/>
      <c r="L144" s="416"/>
      <c r="M144" s="416"/>
      <c r="N144" s="416"/>
      <c r="O144" s="416"/>
    </row>
    <row r="145" spans="1:15">
      <c r="A145" s="409">
        <v>40847</v>
      </c>
      <c r="B145" s="411">
        <v>0.12897549144580359</v>
      </c>
      <c r="C145" s="411">
        <v>0.17728608739807306</v>
      </c>
      <c r="D145" s="408"/>
      <c r="E145" s="408"/>
      <c r="F145" s="408"/>
      <c r="G145" s="408"/>
      <c r="H145" s="408"/>
      <c r="I145" s="408"/>
      <c r="J145" s="408"/>
      <c r="K145" s="408"/>
      <c r="L145" s="408"/>
      <c r="M145" s="408"/>
      <c r="N145" s="408"/>
      <c r="O145" s="408"/>
    </row>
    <row r="146" spans="1:15">
      <c r="A146" s="409">
        <v>40877</v>
      </c>
      <c r="B146" s="411">
        <v>1.4660432128842812E-2</v>
      </c>
      <c r="C146" s="411">
        <v>3.6641367993323175E-2</v>
      </c>
      <c r="D146" s="408"/>
      <c r="E146" s="408"/>
      <c r="F146" s="408"/>
      <c r="G146" s="408"/>
      <c r="H146" s="408"/>
      <c r="I146" s="408"/>
      <c r="J146" s="408"/>
      <c r="K146" s="408"/>
      <c r="L146" s="408"/>
      <c r="M146" s="408"/>
      <c r="N146" s="408"/>
      <c r="O146" s="408"/>
    </row>
    <row r="147" spans="1:15">
      <c r="A147" s="409">
        <v>40907</v>
      </c>
      <c r="B147" s="411">
        <v>2.6464672792487126E-2</v>
      </c>
      <c r="C147" s="411">
        <v>0.1099422935217806</v>
      </c>
      <c r="D147" s="408"/>
      <c r="E147" s="408"/>
      <c r="F147" s="408"/>
      <c r="G147" s="408"/>
      <c r="H147" s="408"/>
      <c r="I147" s="408"/>
      <c r="J147" s="408"/>
      <c r="K147" s="408"/>
      <c r="L147" s="408"/>
      <c r="M147" s="408"/>
      <c r="N147" s="408"/>
      <c r="O147" s="408"/>
    </row>
    <row r="148" spans="1:15">
      <c r="A148" s="409">
        <v>40939</v>
      </c>
      <c r="B148" s="411">
        <v>0.10111969421754195</v>
      </c>
      <c r="C148" s="411">
        <v>0.11611471838264016</v>
      </c>
      <c r="D148" s="408"/>
      <c r="E148" s="408"/>
      <c r="F148" s="408"/>
      <c r="G148" s="408"/>
      <c r="H148" s="408"/>
      <c r="I148" s="408"/>
      <c r="J148" s="408"/>
      <c r="K148" s="408"/>
      <c r="L148" s="408"/>
      <c r="M148" s="408"/>
      <c r="N148" s="408"/>
      <c r="O148" s="408"/>
    </row>
    <row r="149" spans="1:15">
      <c r="A149" s="409">
        <v>40968</v>
      </c>
      <c r="B149" s="411">
        <v>2.8634669317603209E-2</v>
      </c>
      <c r="C149" s="411">
        <v>6.1592527067878079E-2</v>
      </c>
      <c r="D149" s="408"/>
      <c r="E149" s="408"/>
      <c r="F149" s="408"/>
      <c r="G149" s="408"/>
      <c r="H149" s="408"/>
      <c r="I149" s="408"/>
      <c r="J149" s="408"/>
      <c r="K149" s="408"/>
      <c r="L149" s="408"/>
      <c r="M149" s="408"/>
      <c r="N149" s="408"/>
      <c r="O149" s="408"/>
    </row>
    <row r="150" spans="1:15">
      <c r="A150" s="409">
        <v>40998</v>
      </c>
      <c r="B150" s="411">
        <v>3.2027645227529433E-2</v>
      </c>
      <c r="C150" s="411">
        <v>0.14028464617509226</v>
      </c>
      <c r="D150" s="408"/>
      <c r="E150" s="408"/>
      <c r="F150" s="408"/>
      <c r="G150" s="408"/>
      <c r="H150" s="408"/>
      <c r="I150" s="408"/>
      <c r="J150" s="408"/>
      <c r="K150" s="408"/>
      <c r="L150" s="408"/>
      <c r="M150" s="408"/>
      <c r="N150" s="408"/>
      <c r="O150" s="408"/>
    </row>
    <row r="151" spans="1:15">
      <c r="A151" s="409">
        <v>41029</v>
      </c>
      <c r="B151" s="411">
        <v>-3.6447773864440111E-4</v>
      </c>
      <c r="C151" s="411">
        <v>-7.6877790995190168E-2</v>
      </c>
      <c r="D151" s="408"/>
      <c r="E151" s="408"/>
      <c r="F151" s="408"/>
      <c r="G151" s="408"/>
      <c r="H151" s="408"/>
      <c r="I151" s="408"/>
      <c r="J151" s="408"/>
      <c r="K151" s="408"/>
      <c r="L151" s="408"/>
      <c r="M151" s="408"/>
      <c r="N151" s="408"/>
      <c r="O151" s="408"/>
    </row>
    <row r="152" spans="1:15">
      <c r="A152" s="409">
        <v>41060</v>
      </c>
      <c r="B152" s="411">
        <v>-0.11055337625599485</v>
      </c>
      <c r="C152" s="411">
        <v>-0.17654511635187559</v>
      </c>
      <c r="D152" s="408"/>
      <c r="E152" s="408"/>
      <c r="F152" s="408"/>
      <c r="G152" s="408"/>
      <c r="H152" s="408"/>
      <c r="I152" s="408"/>
      <c r="J152" s="408"/>
      <c r="K152" s="408"/>
      <c r="L152" s="408"/>
      <c r="M152" s="408"/>
      <c r="N152" s="408"/>
      <c r="O152" s="408"/>
    </row>
    <row r="153" spans="1:15">
      <c r="A153" s="409">
        <v>41089</v>
      </c>
      <c r="B153" s="411">
        <v>9.1237508830096084E-2</v>
      </c>
      <c r="C153" s="411">
        <v>5.7364870455573792E-2</v>
      </c>
      <c r="D153" s="408"/>
      <c r="E153" s="408"/>
      <c r="F153" s="408"/>
      <c r="G153" s="408"/>
      <c r="H153" s="408"/>
      <c r="I153" s="408"/>
      <c r="J153" s="408"/>
      <c r="K153" s="408"/>
      <c r="L153" s="408"/>
      <c r="M153" s="408"/>
      <c r="N153" s="408"/>
      <c r="O153" s="408"/>
    </row>
    <row r="154" spans="1:15">
      <c r="A154" s="409">
        <v>41121</v>
      </c>
      <c r="B154" s="411">
        <v>2.7180871430492761E-3</v>
      </c>
      <c r="C154" s="411">
        <v>-0.10903375391112995</v>
      </c>
      <c r="D154" s="408"/>
      <c r="E154" s="408"/>
      <c r="F154" s="408"/>
      <c r="G154" s="408"/>
      <c r="H154" s="408"/>
      <c r="I154" s="408"/>
      <c r="J154" s="408"/>
      <c r="K154" s="408"/>
      <c r="L154" s="408"/>
      <c r="M154" s="408"/>
      <c r="N154" s="408"/>
      <c r="O154" s="408"/>
    </row>
    <row r="155" spans="1:15">
      <c r="A155" s="409">
        <v>41152</v>
      </c>
      <c r="B155" s="411">
        <v>2.0686251473629989E-2</v>
      </c>
      <c r="C155" s="411">
        <v>-4.527654716342238E-2</v>
      </c>
      <c r="D155" s="408"/>
      <c r="E155" s="408"/>
      <c r="F155" s="408"/>
      <c r="G155" s="408"/>
      <c r="H155" s="408"/>
      <c r="I155" s="408"/>
      <c r="J155" s="408"/>
      <c r="K155" s="408"/>
      <c r="L155" s="408"/>
      <c r="M155" s="408"/>
      <c r="N155" s="408"/>
      <c r="O155" s="408"/>
    </row>
    <row r="156" spans="1:15">
      <c r="A156" s="409">
        <v>41180</v>
      </c>
      <c r="B156" s="411">
        <v>2.2756448179806991E-2</v>
      </c>
      <c r="C156" s="411">
        <v>2.2674299013465439E-2</v>
      </c>
      <c r="D156" s="408"/>
      <c r="E156" s="408"/>
      <c r="F156" s="408"/>
      <c r="G156" s="408"/>
      <c r="H156" s="408"/>
      <c r="I156" s="408"/>
      <c r="J156" s="408"/>
      <c r="K156" s="408"/>
      <c r="L156" s="408"/>
      <c r="M156" s="408"/>
      <c r="N156" s="408"/>
      <c r="O156" s="408"/>
    </row>
    <row r="157" spans="1:15">
      <c r="A157" s="409">
        <v>41213</v>
      </c>
      <c r="B157" s="411">
        <v>4.1627947884372275E-2</v>
      </c>
      <c r="C157" s="411">
        <v>9.0817721716682426E-2</v>
      </c>
      <c r="D157" s="408"/>
      <c r="E157" s="408"/>
      <c r="F157" s="408"/>
      <c r="G157" s="408"/>
      <c r="H157" s="408"/>
      <c r="I157" s="408"/>
      <c r="J157" s="408"/>
      <c r="K157" s="408"/>
      <c r="L157" s="408"/>
      <c r="M157" s="408"/>
      <c r="N157" s="408"/>
      <c r="O157" s="408"/>
    </row>
    <row r="158" spans="1:15">
      <c r="A158" s="409">
        <v>41243</v>
      </c>
      <c r="B158" s="411">
        <v>-9.9235817793200294E-4</v>
      </c>
      <c r="C158" s="411">
        <v>9.1907134073564243E-3</v>
      </c>
      <c r="D158" s="408"/>
      <c r="E158" s="408"/>
      <c r="F158" s="408"/>
      <c r="G158" s="408"/>
      <c r="H158" s="408"/>
      <c r="I158" s="408"/>
      <c r="J158" s="408"/>
      <c r="K158" s="408"/>
      <c r="L158" s="408"/>
      <c r="M158" s="408"/>
      <c r="N158" s="408"/>
      <c r="O158" s="408"/>
    </row>
    <row r="159" spans="1:15">
      <c r="A159" s="409">
        <v>41271</v>
      </c>
      <c r="B159" s="411">
        <v>4.4818824384294999E-2</v>
      </c>
      <c r="C159" s="411">
        <v>3.7066232630214892E-2</v>
      </c>
      <c r="D159" s="402"/>
      <c r="E159" s="402"/>
      <c r="F159" s="402"/>
      <c r="G159" s="402"/>
      <c r="H159" s="402"/>
      <c r="I159" s="402"/>
      <c r="J159" s="402"/>
      <c r="K159" s="402"/>
      <c r="L159" s="402"/>
      <c r="M159" s="402"/>
      <c r="N159" s="402"/>
      <c r="O159" s="402"/>
    </row>
    <row r="160" spans="1:15">
      <c r="A160" s="409">
        <v>41305</v>
      </c>
      <c r="B160" s="411">
        <v>4.8702823965801056E-2</v>
      </c>
      <c r="C160" s="411">
        <v>7.7373764488533392E-2</v>
      </c>
      <c r="D160" s="402"/>
      <c r="E160" s="402"/>
      <c r="F160" s="402"/>
      <c r="G160" s="402"/>
      <c r="H160" s="402"/>
      <c r="I160" s="402"/>
      <c r="J160" s="402"/>
      <c r="K160" s="402"/>
      <c r="L160" s="402"/>
      <c r="M160" s="402"/>
      <c r="N160" s="402"/>
      <c r="O160" s="402"/>
    </row>
    <row r="161" spans="1:15">
      <c r="A161" s="409">
        <v>41333</v>
      </c>
      <c r="B161" s="411">
        <v>3.8715876060754793E-2</v>
      </c>
      <c r="C161" s="411">
        <v>-1.8771108133412682E-2</v>
      </c>
      <c r="D161" s="402"/>
      <c r="E161" s="402"/>
      <c r="F161" s="402"/>
      <c r="G161" s="402"/>
      <c r="H161" s="402"/>
      <c r="I161" s="402"/>
      <c r="J161" s="402"/>
      <c r="K161" s="402"/>
      <c r="L161" s="402"/>
      <c r="M161" s="402"/>
      <c r="N161" s="402"/>
      <c r="O161" s="402"/>
    </row>
    <row r="162" spans="1:15">
      <c r="A162" s="409">
        <v>41361</v>
      </c>
      <c r="B162" s="411">
        <v>1.9326409255163875E-2</v>
      </c>
      <c r="C162" s="411">
        <v>-3.8167881098512754E-2</v>
      </c>
      <c r="D162" s="402"/>
      <c r="E162" s="402"/>
      <c r="F162" s="402"/>
      <c r="G162" s="402"/>
      <c r="H162" s="402"/>
      <c r="I162" s="402"/>
      <c r="J162" s="402"/>
      <c r="K162" s="402"/>
      <c r="L162" s="402"/>
      <c r="M162" s="402"/>
      <c r="N162" s="402"/>
      <c r="O162" s="402"/>
    </row>
    <row r="163" spans="1:15">
      <c r="A163" s="409">
        <v>41394</v>
      </c>
      <c r="B163" s="411">
        <v>-1.1107117054501353E-3</v>
      </c>
      <c r="C163" s="411">
        <v>1.4320255191436085E-3</v>
      </c>
      <c r="D163" s="402"/>
      <c r="E163" s="402"/>
      <c r="F163" s="402"/>
      <c r="G163" s="402"/>
      <c r="H163" s="402"/>
      <c r="I163" s="402"/>
      <c r="J163" s="402"/>
      <c r="K163" s="402"/>
      <c r="L163" s="402"/>
      <c r="M163" s="402"/>
      <c r="N163" s="402"/>
      <c r="O163" s="402"/>
    </row>
    <row r="164" spans="1:15">
      <c r="A164" s="409">
        <v>41425</v>
      </c>
      <c r="B164" s="411">
        <v>3.2137325733552304E-2</v>
      </c>
      <c r="C164" s="411">
        <v>6.706739107659271E-3</v>
      </c>
      <c r="D164" s="402"/>
      <c r="E164" s="402"/>
      <c r="F164" s="402"/>
      <c r="G164" s="402"/>
      <c r="H164" s="402"/>
      <c r="I164" s="402"/>
      <c r="J164" s="402"/>
      <c r="K164" s="402"/>
      <c r="L164" s="402"/>
      <c r="M164" s="402"/>
      <c r="N164" s="402"/>
      <c r="O164" s="402"/>
    </row>
    <row r="165" spans="1:15">
      <c r="A165" s="409">
        <v>41453</v>
      </c>
      <c r="B165" s="411">
        <v>-1.0516787128267754E-2</v>
      </c>
      <c r="C165" s="411">
        <v>-1.5896626953314823E-2</v>
      </c>
      <c r="D165" s="402"/>
      <c r="E165" s="402"/>
      <c r="F165" s="402"/>
      <c r="G165" s="402"/>
      <c r="H165" s="402"/>
      <c r="I165" s="402"/>
      <c r="J165" s="402"/>
      <c r="K165" s="402"/>
      <c r="L165" s="402"/>
      <c r="M165" s="402"/>
      <c r="N165" s="402"/>
      <c r="O165" s="402"/>
    </row>
    <row r="166" spans="1:15">
      <c r="A166" s="409">
        <v>41486</v>
      </c>
      <c r="B166" s="411">
        <v>5.3951972695636057E-2</v>
      </c>
      <c r="C166" s="411">
        <v>1.8033076614334426E-2</v>
      </c>
      <c r="D166" s="402"/>
      <c r="E166" s="402"/>
      <c r="F166" s="402"/>
      <c r="G166" s="402"/>
      <c r="H166" s="402"/>
      <c r="I166" s="402"/>
      <c r="J166" s="402"/>
      <c r="K166" s="402"/>
      <c r="L166" s="402"/>
      <c r="M166" s="402"/>
      <c r="N166" s="402"/>
      <c r="O166" s="402"/>
    </row>
    <row r="167" spans="1:15">
      <c r="A167" s="409">
        <v>41516</v>
      </c>
      <c r="B167" s="411">
        <v>4.2669776331156354E-3</v>
      </c>
      <c r="C167" s="411">
        <v>1.3920274845634613E-2</v>
      </c>
      <c r="D167" s="402"/>
      <c r="E167" s="402"/>
      <c r="F167" s="402"/>
      <c r="G167" s="402"/>
      <c r="H167" s="402"/>
      <c r="I167" s="402"/>
      <c r="J167" s="402"/>
      <c r="K167" s="402"/>
      <c r="L167" s="402"/>
      <c r="M167" s="402"/>
      <c r="N167" s="402"/>
      <c r="O167" s="402"/>
    </row>
    <row r="168" spans="1:15">
      <c r="A168" s="409">
        <v>41547</v>
      </c>
      <c r="B168" s="411">
        <v>3.596782037062856E-2</v>
      </c>
      <c r="C168" s="411">
        <v>1.9948512942546938E-2</v>
      </c>
      <c r="D168" s="402"/>
      <c r="E168" s="402"/>
      <c r="F168" s="402"/>
      <c r="G168" s="402"/>
      <c r="H168" s="402"/>
      <c r="I168" s="402"/>
      <c r="J168" s="402"/>
      <c r="K168" s="402"/>
      <c r="L168" s="402"/>
      <c r="M168" s="402"/>
      <c r="N168" s="402"/>
      <c r="O168" s="402"/>
    </row>
    <row r="169" spans="1:15">
      <c r="A169" s="409">
        <v>41578</v>
      </c>
      <c r="B169" s="411">
        <v>5.2230119281132387E-2</v>
      </c>
      <c r="C169" s="411">
        <v>8.0181496360957004E-4</v>
      </c>
      <c r="D169" s="402"/>
      <c r="E169" s="402"/>
      <c r="F169" s="402"/>
      <c r="G169" s="402"/>
      <c r="H169" s="402"/>
      <c r="I169" s="402"/>
      <c r="J169" s="402"/>
      <c r="K169" s="402"/>
      <c r="L169" s="402"/>
      <c r="M169" s="402"/>
      <c r="N169" s="402"/>
      <c r="O169" s="402"/>
    </row>
    <row r="170" spans="1:15">
      <c r="A170" s="409">
        <v>41607</v>
      </c>
      <c r="B170" s="411">
        <v>2.1216824194203256E-2</v>
      </c>
      <c r="C170" s="411">
        <v>7.9799452039793321E-3</v>
      </c>
      <c r="D170" s="402"/>
      <c r="E170" s="402"/>
      <c r="F170" s="402"/>
      <c r="G170" s="402"/>
      <c r="H170" s="402"/>
      <c r="I170" s="402"/>
      <c r="J170" s="402"/>
      <c r="K170" s="402"/>
      <c r="L170" s="402"/>
      <c r="M170" s="402"/>
      <c r="N170" s="402"/>
      <c r="O170" s="402"/>
    </row>
    <row r="171" spans="1:15">
      <c r="A171" s="409">
        <v>41638</v>
      </c>
      <c r="B171" s="411">
        <v>1.4496386070982265E-2</v>
      </c>
      <c r="C171" s="411">
        <v>-2.5619528997561192E-3</v>
      </c>
      <c r="D171" s="402"/>
      <c r="E171" s="402"/>
      <c r="F171" s="402"/>
      <c r="G171" s="402"/>
      <c r="H171" s="402"/>
      <c r="I171" s="402"/>
      <c r="J171" s="402"/>
      <c r="K171" s="402"/>
      <c r="L171" s="402"/>
      <c r="M171" s="402"/>
      <c r="N171" s="402"/>
      <c r="O171" s="402"/>
    </row>
    <row r="172" spans="1:15">
      <c r="A172" s="409">
        <v>41670</v>
      </c>
      <c r="B172" s="411">
        <v>-2.2588213671424107E-2</v>
      </c>
      <c r="C172" s="411">
        <v>1.1596039763191237E-2</v>
      </c>
      <c r="D172" s="402"/>
      <c r="E172" s="402"/>
      <c r="F172" s="402"/>
      <c r="G172" s="402"/>
      <c r="H172" s="402"/>
      <c r="I172" s="402"/>
      <c r="J172" s="402"/>
      <c r="K172" s="402"/>
      <c r="L172" s="402"/>
      <c r="M172" s="402"/>
      <c r="N172" s="402"/>
      <c r="O172" s="402"/>
    </row>
    <row r="173" spans="1:15">
      <c r="A173" s="409">
        <v>41698</v>
      </c>
      <c r="B173" s="411">
        <v>4.1350013700070298E-2</v>
      </c>
      <c r="C173" s="411">
        <v>3.4723975871701514E-2</v>
      </c>
      <c r="D173" s="402"/>
      <c r="E173" s="402"/>
      <c r="F173" s="402"/>
      <c r="G173" s="402"/>
      <c r="H173" s="402"/>
      <c r="I173" s="402"/>
      <c r="J173" s="402"/>
      <c r="K173" s="402"/>
      <c r="L173" s="402"/>
      <c r="M173" s="402"/>
      <c r="N173" s="402"/>
      <c r="O173" s="402"/>
    </row>
    <row r="174" spans="1:15">
      <c r="A174" s="409">
        <v>41729</v>
      </c>
      <c r="B174" s="411">
        <v>-2.5888897392058026E-2</v>
      </c>
      <c r="C174" s="411">
        <v>-1.0852791776261849E-2</v>
      </c>
      <c r="D174" s="402"/>
      <c r="E174" s="402"/>
      <c r="F174" s="402"/>
      <c r="G174" s="402"/>
      <c r="H174" s="402"/>
      <c r="I174" s="402"/>
      <c r="J174" s="402"/>
      <c r="K174" s="402"/>
      <c r="L174" s="402"/>
      <c r="M174" s="402"/>
      <c r="N174" s="402"/>
      <c r="O174" s="402"/>
    </row>
    <row r="175" spans="1:15">
      <c r="A175" s="409">
        <v>41759</v>
      </c>
      <c r="B175" s="411">
        <v>-2.3442083314561716E-2</v>
      </c>
      <c r="C175" s="411">
        <v>-1.506393913860754E-3</v>
      </c>
      <c r="D175" s="402"/>
      <c r="E175" s="402"/>
      <c r="F175" s="402"/>
      <c r="G175" s="402"/>
      <c r="H175" s="402"/>
      <c r="I175" s="402"/>
      <c r="J175" s="402"/>
      <c r="K175" s="402"/>
      <c r="L175" s="402"/>
      <c r="M175" s="402"/>
      <c r="N175" s="402"/>
      <c r="O175" s="402"/>
    </row>
    <row r="176" spans="1:15">
      <c r="A176" s="409">
        <v>41789</v>
      </c>
      <c r="B176" s="411">
        <v>5.2540146068330656E-2</v>
      </c>
      <c r="C176" s="411">
        <v>-8.1435216273969234E-3</v>
      </c>
      <c r="D176" s="402"/>
      <c r="E176" s="402"/>
      <c r="F176" s="402"/>
      <c r="G176" s="402"/>
      <c r="H176" s="402"/>
      <c r="I176" s="402"/>
      <c r="J176" s="402"/>
      <c r="K176" s="402"/>
      <c r="L176" s="402"/>
      <c r="M176" s="402"/>
      <c r="N176" s="402"/>
      <c r="O176" s="402"/>
    </row>
    <row r="177" spans="1:15">
      <c r="A177" s="409">
        <v>41820</v>
      </c>
      <c r="B177" s="411">
        <v>-8.1274807984067377E-3</v>
      </c>
      <c r="C177" s="411">
        <v>-1.5275131764131566E-2</v>
      </c>
      <c r="D177" s="402"/>
      <c r="E177" s="402"/>
      <c r="F177" s="402"/>
      <c r="G177" s="402"/>
      <c r="H177" s="402"/>
      <c r="I177" s="402"/>
      <c r="J177" s="402"/>
      <c r="K177" s="402"/>
      <c r="L177" s="402"/>
      <c r="M177" s="402"/>
      <c r="N177" s="402"/>
      <c r="O177" s="402"/>
    </row>
    <row r="178" spans="1:15">
      <c r="A178" s="409">
        <v>41851</v>
      </c>
      <c r="B178" s="411">
        <v>-6.298657832327588E-2</v>
      </c>
      <c r="C178" s="411">
        <v>-1.6747499148597064E-2</v>
      </c>
      <c r="D178" s="402"/>
      <c r="E178" s="402"/>
      <c r="F178" s="402"/>
      <c r="G178" s="402"/>
      <c r="H178" s="402"/>
      <c r="I178" s="402"/>
      <c r="J178" s="402"/>
      <c r="K178" s="402"/>
      <c r="L178" s="402"/>
      <c r="M178" s="402"/>
      <c r="N178" s="402"/>
      <c r="O178" s="402"/>
    </row>
    <row r="179" spans="1:15">
      <c r="A179" s="409">
        <v>41880</v>
      </c>
      <c r="B179" s="411">
        <v>1.8385930461956822E-2</v>
      </c>
      <c r="C179" s="411">
        <v>1.6547499148597121E-2</v>
      </c>
      <c r="D179" s="402"/>
      <c r="E179" s="402"/>
      <c r="F179" s="402"/>
      <c r="G179" s="402"/>
      <c r="H179" s="402"/>
      <c r="I179" s="402"/>
      <c r="J179" s="402"/>
      <c r="K179" s="402"/>
      <c r="L179" s="402"/>
      <c r="M179" s="402"/>
      <c r="N179" s="402"/>
      <c r="O179" s="402"/>
    </row>
    <row r="180" spans="1:15">
      <c r="A180" s="409">
        <v>41912</v>
      </c>
      <c r="B180" s="411">
        <v>-5.7315171313751219E-3</v>
      </c>
      <c r="C180" s="411">
        <v>-1.2924262736226709E-2</v>
      </c>
      <c r="D180" s="402"/>
      <c r="E180" s="402"/>
      <c r="F180" s="402"/>
      <c r="G180" s="402"/>
      <c r="H180" s="402"/>
      <c r="I180" s="402"/>
      <c r="J180" s="402"/>
      <c r="K180" s="402"/>
      <c r="L180" s="402"/>
      <c r="M180" s="402"/>
      <c r="N180" s="402"/>
      <c r="O180" s="402"/>
    </row>
    <row r="182" spans="1:15">
      <c r="A182" s="180" t="s">
        <v>483</v>
      </c>
      <c r="B182" s="177"/>
      <c r="C182" s="177"/>
      <c r="D182" s="177"/>
      <c r="E182" s="177"/>
      <c r="F182" s="177"/>
      <c r="G182" s="177"/>
      <c r="H182" s="177"/>
      <c r="I182" s="177"/>
      <c r="J182" s="177"/>
      <c r="K182" s="177"/>
      <c r="L182" s="177"/>
      <c r="M182" s="177"/>
      <c r="N182" s="177"/>
    </row>
    <row r="184" spans="1:15">
      <c r="A184" s="423"/>
      <c r="B184" s="584" t="s">
        <v>337</v>
      </c>
      <c r="C184" s="584"/>
      <c r="D184" s="423"/>
      <c r="E184" s="431"/>
      <c r="F184" s="431"/>
      <c r="G184" s="431"/>
      <c r="H184" s="431"/>
      <c r="I184" s="431"/>
      <c r="J184" s="431"/>
      <c r="K184" s="431"/>
      <c r="L184" s="431"/>
      <c r="M184" s="431"/>
      <c r="N184" s="431"/>
    </row>
    <row r="185" spans="1:15">
      <c r="A185" s="371" t="s">
        <v>338</v>
      </c>
      <c r="B185" s="371" t="s">
        <v>343</v>
      </c>
      <c r="C185" s="371" t="s">
        <v>345</v>
      </c>
      <c r="D185" s="423"/>
      <c r="E185" s="431"/>
      <c r="F185" s="431"/>
      <c r="G185" s="431"/>
      <c r="H185" s="431"/>
      <c r="I185" s="431"/>
      <c r="J185" s="431"/>
      <c r="K185" s="431"/>
      <c r="L185" s="431"/>
      <c r="M185" s="431"/>
      <c r="N185" s="431"/>
    </row>
    <row r="186" spans="1:15">
      <c r="A186" s="424">
        <v>39871</v>
      </c>
      <c r="B186" s="426">
        <v>-0.26230240111670883</v>
      </c>
      <c r="C186" s="426">
        <v>3.8429252662452729E-2</v>
      </c>
      <c r="D186" s="423"/>
      <c r="E186" s="431"/>
      <c r="F186" s="431"/>
      <c r="G186" s="431"/>
      <c r="H186" s="431"/>
      <c r="I186" s="431"/>
      <c r="J186" s="431"/>
      <c r="K186" s="431"/>
      <c r="L186" s="431"/>
      <c r="M186" s="431"/>
      <c r="N186" s="431"/>
    </row>
    <row r="187" spans="1:15">
      <c r="A187" s="424">
        <v>39903</v>
      </c>
      <c r="B187" s="426">
        <v>0.11932924807946083</v>
      </c>
      <c r="C187" s="426">
        <v>-1.3279352766926268E-2</v>
      </c>
      <c r="D187" s="423"/>
      <c r="E187" s="431"/>
      <c r="F187" s="423" t="s">
        <v>346</v>
      </c>
      <c r="G187" s="423"/>
      <c r="H187" s="423"/>
      <c r="I187" s="423"/>
      <c r="J187" s="423"/>
      <c r="K187" s="423"/>
      <c r="L187" s="423"/>
      <c r="M187" s="423"/>
      <c r="N187" s="423"/>
    </row>
    <row r="188" spans="1:15" ht="15.75" thickBot="1">
      <c r="A188" s="424">
        <v>39933</v>
      </c>
      <c r="B188" s="426">
        <v>0.18059434241407943</v>
      </c>
      <c r="C188" s="426">
        <v>0.15150856349020964</v>
      </c>
      <c r="D188" s="423"/>
      <c r="E188" s="431"/>
      <c r="F188" s="423"/>
      <c r="G188" s="423"/>
      <c r="H188" s="423"/>
      <c r="I188" s="423"/>
      <c r="J188" s="423"/>
      <c r="K188" s="423"/>
      <c r="L188" s="423"/>
      <c r="M188" s="423"/>
      <c r="N188" s="423"/>
    </row>
    <row r="189" spans="1:15">
      <c r="A189" s="424">
        <v>39962</v>
      </c>
      <c r="B189" s="426">
        <v>4.0771176666554824E-2</v>
      </c>
      <c r="C189" s="426">
        <v>-0.13556916909480635</v>
      </c>
      <c r="D189" s="423"/>
      <c r="E189" s="431"/>
      <c r="F189" s="430" t="s">
        <v>347</v>
      </c>
      <c r="G189" s="430"/>
      <c r="H189" s="423"/>
      <c r="I189" s="423"/>
      <c r="J189" s="423"/>
      <c r="K189" s="423"/>
      <c r="L189" s="423"/>
      <c r="M189" s="423"/>
      <c r="N189" s="423"/>
    </row>
    <row r="190" spans="1:15">
      <c r="A190" s="424">
        <v>39993</v>
      </c>
      <c r="B190" s="426">
        <v>-2.7472191223026195E-2</v>
      </c>
      <c r="C190" s="426">
        <v>-4.4159989794030546E-2</v>
      </c>
      <c r="D190" s="423"/>
      <c r="E190" s="431"/>
      <c r="F190" s="427" t="s">
        <v>348</v>
      </c>
      <c r="G190" s="427">
        <v>0.34872942112757549</v>
      </c>
      <c r="H190" s="423"/>
      <c r="I190" s="423"/>
      <c r="J190" s="423"/>
      <c r="K190" s="423"/>
      <c r="L190" s="423"/>
      <c r="M190" s="423"/>
      <c r="N190" s="423"/>
    </row>
    <row r="191" spans="1:15">
      <c r="A191" s="424">
        <v>40025</v>
      </c>
      <c r="B191" s="426">
        <v>7.3848543636432631E-2</v>
      </c>
      <c r="C191" s="426">
        <v>-7.851976804318048E-3</v>
      </c>
      <c r="D191" s="423"/>
      <c r="E191" s="431"/>
      <c r="F191" s="427" t="s">
        <v>349</v>
      </c>
      <c r="G191" s="427">
        <v>0.12161220915997388</v>
      </c>
      <c r="H191" s="423"/>
      <c r="I191" s="423"/>
      <c r="J191" s="423"/>
      <c r="K191" s="423"/>
      <c r="L191" s="423"/>
      <c r="M191" s="423"/>
      <c r="N191" s="423"/>
    </row>
    <row r="192" spans="1:15">
      <c r="A192" s="424">
        <v>40056</v>
      </c>
      <c r="B192" s="426">
        <v>8.0156926126597555E-2</v>
      </c>
      <c r="C192" s="426">
        <v>3.2564297184214462E-2</v>
      </c>
      <c r="D192" s="423"/>
      <c r="E192" s="431"/>
      <c r="F192" s="427" t="s">
        <v>350</v>
      </c>
      <c r="G192" s="427">
        <v>0.1083033032381553</v>
      </c>
      <c r="H192" s="423"/>
      <c r="I192" s="423"/>
      <c r="J192" s="423"/>
      <c r="K192" s="423"/>
      <c r="L192" s="423"/>
      <c r="M192" s="423"/>
      <c r="N192" s="423"/>
    </row>
    <row r="193" spans="1:14">
      <c r="A193" s="424">
        <v>40086</v>
      </c>
      <c r="B193" s="426">
        <v>9.0250987694882184E-2</v>
      </c>
      <c r="C193" s="426">
        <v>1.7322043446664416E-2</v>
      </c>
      <c r="D193" s="423"/>
      <c r="E193" s="431"/>
      <c r="F193" s="427" t="s">
        <v>351</v>
      </c>
      <c r="G193" s="427">
        <v>7.4298087443206914E-2</v>
      </c>
      <c r="H193" s="423"/>
      <c r="I193" s="423"/>
      <c r="J193" s="423"/>
      <c r="K193" s="423"/>
      <c r="L193" s="423"/>
      <c r="M193" s="423"/>
      <c r="N193" s="423"/>
    </row>
    <row r="194" spans="1:14" ht="15.75" thickBot="1">
      <c r="A194" s="424">
        <v>40116</v>
      </c>
      <c r="B194" s="426">
        <v>-8.9077510158436929E-2</v>
      </c>
      <c r="C194" s="426">
        <v>1.7993403124273291E-2</v>
      </c>
      <c r="D194" s="423"/>
      <c r="E194" s="431"/>
      <c r="F194" s="428" t="s">
        <v>352</v>
      </c>
      <c r="G194" s="428">
        <v>68</v>
      </c>
      <c r="H194" s="423"/>
      <c r="I194" s="423"/>
      <c r="J194" s="423"/>
      <c r="K194" s="423"/>
      <c r="L194" s="423"/>
      <c r="M194" s="423"/>
      <c r="N194" s="423"/>
    </row>
    <row r="195" spans="1:14">
      <c r="A195" s="424">
        <v>40147</v>
      </c>
      <c r="B195" s="426">
        <v>5.31107012224405E-2</v>
      </c>
      <c r="C195" s="426">
        <v>-2.2148908899641103E-2</v>
      </c>
      <c r="D195" s="423"/>
      <c r="E195" s="431"/>
      <c r="F195" s="423"/>
      <c r="G195" s="423"/>
      <c r="H195" s="423"/>
      <c r="I195" s="423"/>
      <c r="J195" s="423"/>
      <c r="K195" s="423"/>
      <c r="L195" s="423"/>
      <c r="M195" s="423"/>
      <c r="N195" s="423"/>
    </row>
    <row r="196" spans="1:14" ht="15.75" thickBot="1">
      <c r="A196" s="424">
        <v>40178</v>
      </c>
      <c r="B196" s="426">
        <v>9.192964004899723E-2</v>
      </c>
      <c r="C196" s="426">
        <v>1.5385131839458515E-2</v>
      </c>
      <c r="D196" s="423"/>
      <c r="E196" s="431"/>
      <c r="F196" s="423" t="s">
        <v>353</v>
      </c>
      <c r="G196" s="423"/>
      <c r="H196" s="423"/>
      <c r="I196" s="423"/>
      <c r="J196" s="423"/>
      <c r="K196" s="423"/>
      <c r="L196" s="423"/>
      <c r="M196" s="423"/>
      <c r="N196" s="423"/>
    </row>
    <row r="197" spans="1:14">
      <c r="A197" s="424">
        <v>40207</v>
      </c>
      <c r="B197" s="426">
        <v>-4.2884783188096215E-2</v>
      </c>
      <c r="C197" s="426">
        <v>-7.5691248023907795E-2</v>
      </c>
      <c r="D197" s="423"/>
      <c r="E197" s="431"/>
      <c r="F197" s="429"/>
      <c r="G197" s="429" t="s">
        <v>354</v>
      </c>
      <c r="H197" s="429" t="s">
        <v>355</v>
      </c>
      <c r="I197" s="429" t="s">
        <v>356</v>
      </c>
      <c r="J197" s="429" t="s">
        <v>357</v>
      </c>
      <c r="K197" s="429" t="s">
        <v>358</v>
      </c>
      <c r="L197" s="423"/>
      <c r="M197" s="423"/>
      <c r="N197" s="423"/>
    </row>
    <row r="198" spans="1:14">
      <c r="A198" s="424">
        <v>40235</v>
      </c>
      <c r="B198" s="426">
        <v>3.6905313920108929E-2</v>
      </c>
      <c r="C198" s="426">
        <v>6.0129962862420609E-2</v>
      </c>
      <c r="D198" s="423"/>
      <c r="E198" s="431"/>
      <c r="F198" s="427" t="s">
        <v>359</v>
      </c>
      <c r="G198" s="427">
        <v>1</v>
      </c>
      <c r="H198" s="427">
        <v>5.0441743748272039E-2</v>
      </c>
      <c r="I198" s="427">
        <v>5.0441743748272039E-2</v>
      </c>
      <c r="J198" s="427">
        <v>9.1376563839558909</v>
      </c>
      <c r="K198" s="427">
        <v>3.5629150257131949E-3</v>
      </c>
      <c r="L198" s="423"/>
      <c r="M198" s="423"/>
      <c r="N198" s="423"/>
    </row>
    <row r="199" spans="1:14">
      <c r="A199" s="424">
        <v>40268</v>
      </c>
      <c r="B199" s="426">
        <v>6.4415505968756781E-2</v>
      </c>
      <c r="C199" s="426">
        <v>8.5878852375440476E-2</v>
      </c>
      <c r="D199" s="423"/>
      <c r="E199" s="431"/>
      <c r="F199" s="427" t="s">
        <v>360</v>
      </c>
      <c r="G199" s="427">
        <v>66</v>
      </c>
      <c r="H199" s="427">
        <v>0.36433358264941573</v>
      </c>
      <c r="I199" s="427">
        <v>5.5202057977184202E-3</v>
      </c>
      <c r="J199" s="427"/>
      <c r="K199" s="427"/>
      <c r="L199" s="423"/>
      <c r="M199" s="423"/>
      <c r="N199" s="423"/>
    </row>
    <row r="200" spans="1:14" ht="15.75" thickBot="1">
      <c r="A200" s="424">
        <v>40298</v>
      </c>
      <c r="B200" s="426">
        <v>-4.5255191984708149E-2</v>
      </c>
      <c r="C200" s="426">
        <v>4.0867438488223114E-2</v>
      </c>
      <c r="D200" s="423"/>
      <c r="E200" s="431"/>
      <c r="F200" s="428" t="s">
        <v>81</v>
      </c>
      <c r="G200" s="428">
        <v>67</v>
      </c>
      <c r="H200" s="428">
        <v>0.41477532639768777</v>
      </c>
      <c r="I200" s="428"/>
      <c r="J200" s="428"/>
      <c r="K200" s="428"/>
      <c r="L200" s="423"/>
      <c r="M200" s="423"/>
      <c r="N200" s="423"/>
    </row>
    <row r="201" spans="1:14" ht="15.75" thickBot="1">
      <c r="A201" s="424">
        <v>40329</v>
      </c>
      <c r="B201" s="426">
        <v>2.9755833186030169E-2</v>
      </c>
      <c r="C201" s="426">
        <v>-4.1067438488223029E-2</v>
      </c>
      <c r="D201" s="423"/>
      <c r="E201" s="431"/>
      <c r="F201" s="423"/>
      <c r="G201" s="423"/>
      <c r="H201" s="423"/>
      <c r="I201" s="423"/>
      <c r="J201" s="423"/>
      <c r="K201" s="423"/>
      <c r="L201" s="423"/>
      <c r="M201" s="423"/>
      <c r="N201" s="423"/>
    </row>
    <row r="202" spans="1:14">
      <c r="A202" s="424">
        <v>40359</v>
      </c>
      <c r="B202" s="426">
        <v>-3.7709955017587601E-2</v>
      </c>
      <c r="C202" s="426">
        <v>-4.662001563489282E-2</v>
      </c>
      <c r="D202" s="423"/>
      <c r="E202" s="431"/>
      <c r="F202" s="429"/>
      <c r="G202" s="429" t="s">
        <v>361</v>
      </c>
      <c r="H202" s="429" t="s">
        <v>351</v>
      </c>
      <c r="I202" s="429" t="s">
        <v>362</v>
      </c>
      <c r="J202" s="429" t="s">
        <v>363</v>
      </c>
      <c r="K202" s="429" t="s">
        <v>364</v>
      </c>
      <c r="L202" s="429" t="s">
        <v>365</v>
      </c>
      <c r="M202" s="429" t="s">
        <v>366</v>
      </c>
      <c r="N202" s="429" t="s">
        <v>367</v>
      </c>
    </row>
    <row r="203" spans="1:14">
      <c r="A203" s="424">
        <v>40389</v>
      </c>
      <c r="B203" s="426">
        <v>9.0006769907380491E-2</v>
      </c>
      <c r="C203" s="426">
        <v>3.1537084943182657E-2</v>
      </c>
      <c r="D203" s="423"/>
      <c r="E203" s="431"/>
      <c r="F203" s="427" t="s">
        <v>368</v>
      </c>
      <c r="G203" s="427">
        <v>5.4317913462575045E-3</v>
      </c>
      <c r="H203" s="427">
        <v>9.2623178734132835E-3</v>
      </c>
      <c r="I203" s="427">
        <v>0.58643974656160436</v>
      </c>
      <c r="J203" s="427">
        <v>0.5595805062586463</v>
      </c>
      <c r="K203" s="427">
        <v>-1.3061022956825503E-2</v>
      </c>
      <c r="L203" s="427">
        <v>2.392460564934051E-2</v>
      </c>
      <c r="M203" s="427">
        <v>-1.3061022956825503E-2</v>
      </c>
      <c r="N203" s="427">
        <v>2.392460564934051E-2</v>
      </c>
    </row>
    <row r="204" spans="1:14" ht="15.75" thickBot="1">
      <c r="A204" s="424">
        <v>40421</v>
      </c>
      <c r="B204" s="426">
        <v>-1.2385438013695058E-2</v>
      </c>
      <c r="C204" s="426">
        <v>-2.2140423412887501E-2</v>
      </c>
      <c r="D204" s="423"/>
      <c r="E204" s="431"/>
      <c r="F204" s="428" t="s">
        <v>369</v>
      </c>
      <c r="G204" s="428">
        <v>0.41422410210028071</v>
      </c>
      <c r="H204" s="428">
        <v>0.13703072449415293</v>
      </c>
      <c r="I204" s="428">
        <v>3.0228556670730846</v>
      </c>
      <c r="J204" s="428">
        <v>3.5629150257132391E-3</v>
      </c>
      <c r="K204" s="428">
        <v>0.1406334332719979</v>
      </c>
      <c r="L204" s="428">
        <v>0.68781477092856358</v>
      </c>
      <c r="M204" s="428">
        <v>0.1406334332719979</v>
      </c>
      <c r="N204" s="428">
        <v>0.68781477092856358</v>
      </c>
    </row>
    <row r="205" spans="1:14">
      <c r="A205" s="424">
        <v>40451</v>
      </c>
      <c r="B205" s="426">
        <v>2.8220625252513353E-2</v>
      </c>
      <c r="C205" s="426">
        <v>0.14445401829696317</v>
      </c>
      <c r="D205" s="423"/>
      <c r="E205" s="431"/>
      <c r="F205" s="423"/>
      <c r="G205" s="423"/>
      <c r="H205" s="423"/>
      <c r="I205" s="423"/>
      <c r="J205" s="423"/>
      <c r="K205" s="423"/>
      <c r="L205" s="423"/>
      <c r="M205" s="423"/>
      <c r="N205" s="423"/>
    </row>
    <row r="206" spans="1:14">
      <c r="A206" s="424">
        <v>40480</v>
      </c>
      <c r="B206" s="426">
        <v>7.6210499520714528E-2</v>
      </c>
      <c r="C206" s="426">
        <v>-1.5524470325631638E-2</v>
      </c>
      <c r="D206" s="423"/>
      <c r="E206" s="431"/>
      <c r="F206" s="423"/>
      <c r="G206" s="423"/>
      <c r="H206" s="423"/>
      <c r="I206" s="423"/>
      <c r="J206" s="425" t="s">
        <v>370</v>
      </c>
      <c r="K206" s="432">
        <v>5.4317913462575045E-3</v>
      </c>
      <c r="L206" s="425" t="s">
        <v>371</v>
      </c>
      <c r="M206" s="432">
        <v>6.7164475934682777E-2</v>
      </c>
      <c r="N206" s="423"/>
    </row>
    <row r="207" spans="1:14">
      <c r="A207" s="424">
        <v>40512</v>
      </c>
      <c r="B207" s="426">
        <v>3.7718481345441021E-2</v>
      </c>
      <c r="C207" s="426">
        <v>0.20695629327068213</v>
      </c>
      <c r="D207" s="423"/>
      <c r="E207" s="431"/>
      <c r="F207" s="423"/>
      <c r="G207" s="423"/>
      <c r="H207" s="423"/>
      <c r="I207" s="423"/>
      <c r="J207" s="425" t="s">
        <v>372</v>
      </c>
      <c r="K207" s="433">
        <v>9.2623178734132835E-3</v>
      </c>
      <c r="L207" s="423"/>
      <c r="M207" s="423"/>
      <c r="N207" s="423"/>
    </row>
    <row r="208" spans="1:14">
      <c r="A208" s="424">
        <v>40542</v>
      </c>
      <c r="B208" s="426">
        <v>4.191767668993418E-2</v>
      </c>
      <c r="C208" s="426">
        <v>-1.9494959772032906E-2</v>
      </c>
      <c r="D208" s="423"/>
      <c r="E208" s="431"/>
      <c r="F208" s="431"/>
      <c r="G208" s="431"/>
      <c r="H208" s="431"/>
      <c r="I208" s="431"/>
      <c r="J208" s="425" t="s">
        <v>373</v>
      </c>
      <c r="K208" s="423"/>
      <c r="L208" s="423"/>
      <c r="M208" s="423"/>
      <c r="N208" s="431"/>
    </row>
    <row r="209" spans="1:14">
      <c r="A209" s="424">
        <v>40574</v>
      </c>
      <c r="B209" s="426">
        <v>6.109740027209546E-3</v>
      </c>
      <c r="C209" s="426">
        <v>-6.1379792587033917E-2</v>
      </c>
      <c r="D209" s="423"/>
      <c r="E209" s="431"/>
      <c r="F209" s="431"/>
      <c r="G209" s="431"/>
      <c r="H209" s="431"/>
      <c r="I209" s="431"/>
      <c r="J209" s="434">
        <v>-1.2722351685632533E-2</v>
      </c>
      <c r="K209" s="434">
        <v>2.358593437814754E-2</v>
      </c>
      <c r="L209" s="425" t="s">
        <v>374</v>
      </c>
      <c r="M209" s="423"/>
      <c r="N209" s="431"/>
    </row>
    <row r="210" spans="1:14">
      <c r="A210" s="424">
        <v>40602</v>
      </c>
      <c r="B210" s="426">
        <v>-5.906995464956607E-3</v>
      </c>
      <c r="C210" s="426">
        <v>7.2963721960930705E-2</v>
      </c>
      <c r="D210" s="423"/>
      <c r="E210" s="431"/>
      <c r="F210" s="431"/>
      <c r="G210" s="431"/>
      <c r="H210" s="431"/>
      <c r="I210" s="431"/>
      <c r="J210" s="431"/>
      <c r="K210" s="431"/>
      <c r="L210" s="431"/>
      <c r="M210" s="431"/>
      <c r="N210" s="431"/>
    </row>
    <row r="211" spans="1:14">
      <c r="A211" s="424">
        <v>40633</v>
      </c>
      <c r="B211" s="426">
        <v>3.6587829621655139E-2</v>
      </c>
      <c r="C211" s="426">
        <v>8.9172542452766998E-2</v>
      </c>
      <c r="D211" s="423"/>
      <c r="E211" s="431"/>
      <c r="F211" s="431"/>
      <c r="G211" s="431"/>
      <c r="H211" s="431"/>
      <c r="I211" s="431"/>
      <c r="J211" s="425" t="s">
        <v>377</v>
      </c>
      <c r="K211" s="431"/>
      <c r="L211" s="431"/>
      <c r="M211" s="431"/>
      <c r="N211" s="431"/>
    </row>
    <row r="212" spans="1:14">
      <c r="A212" s="424">
        <v>40662</v>
      </c>
      <c r="B212" s="426">
        <v>1.7662856365521975E-2</v>
      </c>
      <c r="C212" s="426">
        <v>7.7550934230065857E-2</v>
      </c>
      <c r="D212" s="423"/>
      <c r="E212" s="431"/>
      <c r="F212" s="431"/>
      <c r="G212" s="431"/>
      <c r="H212" s="431"/>
      <c r="I212" s="431"/>
      <c r="J212" s="431"/>
      <c r="K212" s="431"/>
      <c r="L212" s="431"/>
      <c r="M212" s="431"/>
      <c r="N212" s="431"/>
    </row>
    <row r="213" spans="1:14">
      <c r="A213" s="424">
        <v>40694</v>
      </c>
      <c r="B213" s="426">
        <v>-6.7814977665773338E-3</v>
      </c>
      <c r="C213" s="426">
        <v>-7.852763329823835E-2</v>
      </c>
      <c r="D213" s="423"/>
      <c r="E213" s="431"/>
      <c r="F213" s="431"/>
      <c r="G213" s="431"/>
      <c r="H213" s="431"/>
      <c r="I213" s="431"/>
      <c r="J213" s="431"/>
      <c r="K213" s="431"/>
      <c r="L213" s="431"/>
      <c r="M213" s="431"/>
      <c r="N213" s="431"/>
    </row>
    <row r="214" spans="1:14">
      <c r="A214" s="424">
        <v>40724</v>
      </c>
      <c r="B214" s="426">
        <v>3.7308061621481516E-2</v>
      </c>
      <c r="C214" s="426">
        <v>-7.0092371820034916E-2</v>
      </c>
      <c r="D214" s="423"/>
      <c r="E214" s="431"/>
      <c r="F214" s="431"/>
      <c r="G214" s="431"/>
      <c r="H214" s="431"/>
      <c r="I214" s="431"/>
      <c r="J214" s="431"/>
      <c r="K214" s="431"/>
      <c r="L214" s="431"/>
      <c r="M214" s="431"/>
      <c r="N214" s="431"/>
    </row>
    <row r="215" spans="1:14">
      <c r="A215" s="424">
        <v>40753</v>
      </c>
      <c r="B215" s="426">
        <v>-0.10764252622975069</v>
      </c>
      <c r="C215" s="426">
        <v>-3.4001551675681342E-2</v>
      </c>
      <c r="D215" s="423"/>
      <c r="E215" s="431"/>
      <c r="F215" s="431"/>
      <c r="G215" s="431"/>
      <c r="H215" s="431"/>
      <c r="I215" s="431"/>
      <c r="J215" s="431"/>
      <c r="K215" s="431"/>
      <c r="L215" s="431"/>
      <c r="M215" s="431"/>
      <c r="N215" s="431"/>
    </row>
    <row r="216" spans="1:14">
      <c r="A216" s="424">
        <v>40786</v>
      </c>
      <c r="B216" s="426">
        <v>-0.1193717901832561</v>
      </c>
      <c r="C216" s="426">
        <v>-0.3312416419335677</v>
      </c>
      <c r="D216" s="423"/>
      <c r="E216" s="431"/>
      <c r="F216" s="431"/>
      <c r="G216" s="431"/>
      <c r="H216" s="431"/>
      <c r="I216" s="431"/>
      <c r="J216" s="431"/>
      <c r="K216" s="431"/>
      <c r="L216" s="431"/>
      <c r="M216" s="431"/>
      <c r="N216" s="431"/>
    </row>
    <row r="217" spans="1:14">
      <c r="A217" s="424">
        <v>40816</v>
      </c>
      <c r="B217" s="426">
        <v>-0.12714417548482571</v>
      </c>
      <c r="C217" s="426">
        <v>2.7370351544003101E-2</v>
      </c>
      <c r="D217" s="423"/>
      <c r="E217" s="431"/>
      <c r="F217" s="431"/>
      <c r="G217" s="431"/>
      <c r="H217" s="431"/>
      <c r="I217" s="431"/>
      <c r="J217" s="431"/>
      <c r="K217" s="431"/>
      <c r="L217" s="431"/>
      <c r="M217" s="431"/>
      <c r="N217" s="431"/>
    </row>
    <row r="218" spans="1:14">
      <c r="A218" s="424">
        <v>40847</v>
      </c>
      <c r="B218" s="426">
        <v>0.12897549144580359</v>
      </c>
      <c r="C218" s="426">
        <v>8.3762689183638286E-2</v>
      </c>
      <c r="D218" s="423"/>
      <c r="E218" s="423"/>
      <c r="F218" s="423"/>
      <c r="G218" s="423"/>
      <c r="H218" s="423"/>
      <c r="I218" s="423"/>
      <c r="J218" s="423"/>
      <c r="K218" s="423"/>
      <c r="L218" s="423"/>
      <c r="M218" s="423"/>
      <c r="N218" s="423"/>
    </row>
    <row r="219" spans="1:14">
      <c r="A219" s="424">
        <v>40877</v>
      </c>
      <c r="B219" s="426">
        <v>1.4660432128842812E-2</v>
      </c>
      <c r="C219" s="426">
        <v>-2.4011583766671615E-2</v>
      </c>
      <c r="D219" s="423"/>
      <c r="E219" s="423"/>
      <c r="F219" s="423"/>
      <c r="G219" s="423"/>
      <c r="H219" s="423"/>
      <c r="I219" s="423"/>
      <c r="J219" s="423"/>
      <c r="K219" s="423"/>
      <c r="L219" s="423"/>
      <c r="M219" s="423"/>
      <c r="N219" s="423"/>
    </row>
    <row r="220" spans="1:14">
      <c r="A220" s="424">
        <v>40907</v>
      </c>
      <c r="B220" s="426">
        <v>2.6464672792487126E-2</v>
      </c>
      <c r="C220" s="426">
        <v>6.1643396325481929E-2</v>
      </c>
      <c r="D220" s="423"/>
      <c r="E220" s="423"/>
      <c r="F220" s="423"/>
      <c r="G220" s="423"/>
      <c r="H220" s="423"/>
      <c r="I220" s="423"/>
      <c r="J220" s="423"/>
      <c r="K220" s="423"/>
      <c r="L220" s="423"/>
      <c r="M220" s="423"/>
      <c r="N220" s="423"/>
    </row>
    <row r="221" spans="1:14">
      <c r="A221" s="424">
        <v>40939</v>
      </c>
      <c r="B221" s="426">
        <v>0.10111969421754195</v>
      </c>
      <c r="C221" s="426">
        <v>0.18772174254027213</v>
      </c>
      <c r="D221" s="423"/>
      <c r="E221" s="423"/>
      <c r="F221" s="423"/>
      <c r="G221" s="423"/>
      <c r="H221" s="423"/>
      <c r="I221" s="423"/>
      <c r="J221" s="423"/>
      <c r="K221" s="423"/>
      <c r="L221" s="423"/>
      <c r="M221" s="423"/>
      <c r="N221" s="423"/>
    </row>
    <row r="222" spans="1:14">
      <c r="A222" s="424">
        <v>40968</v>
      </c>
      <c r="B222" s="426">
        <v>2.8634669317603209E-2</v>
      </c>
      <c r="C222" s="426">
        <v>2.5954595111852212E-2</v>
      </c>
      <c r="D222" s="423"/>
      <c r="E222" s="423"/>
      <c r="F222" s="423"/>
      <c r="G222" s="423"/>
      <c r="H222" s="423"/>
      <c r="I222" s="423"/>
      <c r="J222" s="423"/>
      <c r="K222" s="423"/>
      <c r="L222" s="423"/>
      <c r="M222" s="423"/>
      <c r="N222" s="423"/>
    </row>
    <row r="223" spans="1:14">
      <c r="A223" s="424">
        <v>40998</v>
      </c>
      <c r="B223" s="426">
        <v>3.2027645227529433E-2</v>
      </c>
      <c r="C223" s="426">
        <v>0.14209863316395666</v>
      </c>
      <c r="D223" s="423"/>
      <c r="E223" s="423"/>
      <c r="F223" s="423"/>
      <c r="G223" s="423"/>
      <c r="H223" s="423"/>
      <c r="I223" s="423"/>
      <c r="J223" s="423"/>
      <c r="K223" s="423"/>
      <c r="L223" s="423"/>
      <c r="M223" s="423"/>
      <c r="N223" s="423"/>
    </row>
    <row r="224" spans="1:14">
      <c r="A224" s="424">
        <v>41029</v>
      </c>
      <c r="B224" s="426">
        <v>-3.6447773864440111E-4</v>
      </c>
      <c r="C224" s="426">
        <v>0.17876297765075286</v>
      </c>
      <c r="D224" s="423"/>
      <c r="E224" s="423"/>
      <c r="F224" s="423"/>
      <c r="G224" s="423"/>
      <c r="H224" s="423"/>
      <c r="I224" s="423"/>
      <c r="J224" s="423"/>
      <c r="K224" s="423"/>
      <c r="L224" s="423"/>
      <c r="M224" s="423"/>
      <c r="N224" s="423"/>
    </row>
    <row r="225" spans="1:14">
      <c r="A225" s="424">
        <v>41060</v>
      </c>
      <c r="B225" s="426">
        <v>-0.11055337625599485</v>
      </c>
      <c r="C225" s="426">
        <v>-7.0348310081248727E-2</v>
      </c>
      <c r="D225" s="423"/>
      <c r="E225" s="423"/>
      <c r="F225" s="423"/>
      <c r="G225" s="423"/>
      <c r="H225" s="423"/>
      <c r="I225" s="423"/>
      <c r="J225" s="423"/>
      <c r="K225" s="423"/>
      <c r="L225" s="423"/>
      <c r="M225" s="423"/>
      <c r="N225" s="423"/>
    </row>
    <row r="226" spans="1:14">
      <c r="A226" s="424">
        <v>41089</v>
      </c>
      <c r="B226" s="426">
        <v>9.1237508830096084E-2</v>
      </c>
      <c r="C226" s="426">
        <v>2.0861353845425354E-2</v>
      </c>
      <c r="D226" s="423"/>
      <c r="E226" s="423"/>
      <c r="F226" s="423"/>
      <c r="G226" s="423"/>
      <c r="H226" s="423"/>
      <c r="I226" s="423"/>
      <c r="J226" s="423"/>
      <c r="K226" s="423"/>
      <c r="L226" s="423"/>
      <c r="M226" s="423"/>
      <c r="N226" s="423"/>
    </row>
    <row r="227" spans="1:14">
      <c r="A227" s="424">
        <v>41121</v>
      </c>
      <c r="B227" s="426">
        <v>2.7180871430492761E-3</v>
      </c>
      <c r="C227" s="426">
        <v>-5.1004895456791724E-2</v>
      </c>
      <c r="D227" s="423"/>
      <c r="E227" s="423"/>
      <c r="F227" s="423"/>
      <c r="G227" s="423"/>
      <c r="H227" s="423"/>
      <c r="I227" s="423"/>
      <c r="J227" s="423"/>
      <c r="K227" s="423"/>
      <c r="L227" s="423"/>
      <c r="M227" s="423"/>
      <c r="N227" s="423"/>
    </row>
    <row r="228" spans="1:14">
      <c r="A228" s="424">
        <v>41152</v>
      </c>
      <c r="B228" s="426">
        <v>2.0686251473629989E-2</v>
      </c>
      <c r="C228" s="426">
        <v>-8.2253933135599117E-2</v>
      </c>
      <c r="D228" s="423"/>
      <c r="E228" s="423"/>
      <c r="F228" s="423"/>
      <c r="G228" s="423"/>
      <c r="H228" s="423"/>
      <c r="I228" s="423"/>
      <c r="J228" s="423"/>
      <c r="K228" s="423"/>
      <c r="L228" s="423"/>
      <c r="M228" s="423"/>
      <c r="N228" s="423"/>
    </row>
    <row r="229" spans="1:14">
      <c r="A229" s="424">
        <v>41180</v>
      </c>
      <c r="B229" s="426">
        <v>2.2756448179806991E-2</v>
      </c>
      <c r="C229" s="426">
        <v>-4.5298714480048893E-2</v>
      </c>
      <c r="D229" s="423"/>
      <c r="E229" s="423"/>
      <c r="F229" s="423"/>
      <c r="G229" s="423"/>
      <c r="H229" s="423"/>
      <c r="I229" s="423"/>
      <c r="J229" s="423"/>
      <c r="K229" s="423"/>
      <c r="L229" s="423"/>
      <c r="M229" s="423"/>
      <c r="N229" s="423"/>
    </row>
    <row r="230" spans="1:14">
      <c r="A230" s="424">
        <v>41213</v>
      </c>
      <c r="B230" s="426">
        <v>4.1627947884372275E-2</v>
      </c>
      <c r="C230" s="426">
        <v>7.6720205983441397E-2</v>
      </c>
      <c r="D230" s="423"/>
      <c r="E230" s="423"/>
      <c r="F230" s="423"/>
      <c r="G230" s="423"/>
      <c r="H230" s="423"/>
      <c r="I230" s="423"/>
      <c r="J230" s="423"/>
      <c r="K230" s="423"/>
      <c r="L230" s="423"/>
      <c r="M230" s="423"/>
      <c r="N230" s="423"/>
    </row>
    <row r="231" spans="1:14">
      <c r="A231" s="424">
        <v>41243</v>
      </c>
      <c r="B231" s="426">
        <v>-9.9235817793200294E-4</v>
      </c>
      <c r="C231" s="426">
        <v>6.1352779213663514E-2</v>
      </c>
      <c r="D231" s="423"/>
      <c r="E231" s="423"/>
      <c r="F231" s="423"/>
      <c r="G231" s="423"/>
      <c r="H231" s="423"/>
      <c r="I231" s="423"/>
      <c r="J231" s="423"/>
      <c r="K231" s="423"/>
      <c r="L231" s="423"/>
      <c r="M231" s="423"/>
      <c r="N231" s="423"/>
    </row>
    <row r="232" spans="1:14">
      <c r="A232" s="424">
        <v>41271</v>
      </c>
      <c r="B232" s="426">
        <v>4.4818824384294999E-2</v>
      </c>
      <c r="C232" s="426">
        <v>-1E-4</v>
      </c>
      <c r="D232" s="408"/>
      <c r="E232" s="408"/>
      <c r="F232" s="408"/>
      <c r="G232" s="408"/>
      <c r="H232" s="408"/>
      <c r="I232" s="408"/>
      <c r="J232" s="408"/>
      <c r="K232" s="408"/>
      <c r="L232" s="408"/>
      <c r="M232" s="408"/>
      <c r="N232" s="408"/>
    </row>
    <row r="233" spans="1:14">
      <c r="A233" s="424">
        <v>41305</v>
      </c>
      <c r="B233" s="426">
        <v>4.8702823965801056E-2</v>
      </c>
      <c r="C233" s="426">
        <v>0.11606288654287826</v>
      </c>
      <c r="D233" s="408"/>
      <c r="E233" s="408"/>
      <c r="F233" s="408"/>
      <c r="G233" s="408"/>
      <c r="H233" s="408"/>
      <c r="I233" s="408"/>
      <c r="J233" s="408"/>
      <c r="K233" s="408"/>
      <c r="L233" s="408"/>
      <c r="M233" s="408"/>
      <c r="N233" s="408"/>
    </row>
    <row r="234" spans="1:14">
      <c r="A234" s="424">
        <v>41333</v>
      </c>
      <c r="B234" s="426">
        <v>3.8715876060754793E-2</v>
      </c>
      <c r="C234" s="426">
        <v>-1.3754115365024258E-2</v>
      </c>
      <c r="D234" s="408"/>
      <c r="E234" s="408"/>
      <c r="F234" s="408"/>
      <c r="G234" s="408"/>
      <c r="H234" s="408"/>
      <c r="I234" s="408"/>
      <c r="J234" s="408"/>
      <c r="K234" s="408"/>
      <c r="L234" s="408"/>
      <c r="M234" s="408"/>
      <c r="N234" s="408"/>
    </row>
    <row r="235" spans="1:14">
      <c r="A235" s="424">
        <v>41361</v>
      </c>
      <c r="B235" s="426">
        <v>1.9326409255163875E-2</v>
      </c>
      <c r="C235" s="426">
        <v>4.975500625965559E-4</v>
      </c>
      <c r="D235" s="408"/>
      <c r="E235" s="408"/>
      <c r="F235" s="408"/>
      <c r="G235" s="408"/>
      <c r="H235" s="408"/>
      <c r="I235" s="408"/>
      <c r="J235" s="408"/>
      <c r="K235" s="408"/>
      <c r="L235" s="408"/>
      <c r="M235" s="408"/>
      <c r="N235" s="408"/>
    </row>
    <row r="236" spans="1:14">
      <c r="A236" s="424">
        <v>41394</v>
      </c>
      <c r="B236" s="426">
        <v>-1.1107117054501353E-3</v>
      </c>
      <c r="C236" s="426">
        <v>1.1894680948029882E-2</v>
      </c>
      <c r="D236" s="408"/>
      <c r="E236" s="408"/>
      <c r="F236" s="408"/>
      <c r="G236" s="408"/>
      <c r="H236" s="408"/>
      <c r="I236" s="408"/>
      <c r="J236" s="408"/>
      <c r="K236" s="408"/>
      <c r="L236" s="408"/>
      <c r="M236" s="408"/>
      <c r="N236" s="408"/>
    </row>
    <row r="237" spans="1:14">
      <c r="A237" s="424">
        <v>41425</v>
      </c>
      <c r="B237" s="426">
        <v>3.2137325733552304E-2</v>
      </c>
      <c r="C237" s="426">
        <v>7.4267907969901301E-3</v>
      </c>
      <c r="D237" s="408"/>
      <c r="E237" s="408"/>
      <c r="F237" s="408"/>
      <c r="G237" s="408"/>
      <c r="H237" s="408"/>
      <c r="I237" s="408"/>
      <c r="J237" s="408"/>
      <c r="K237" s="408"/>
      <c r="L237" s="408"/>
      <c r="M237" s="408"/>
      <c r="N237" s="408"/>
    </row>
    <row r="238" spans="1:14">
      <c r="A238" s="424">
        <v>41453</v>
      </c>
      <c r="B238" s="426">
        <v>-1.0516787128267754E-2</v>
      </c>
      <c r="C238" s="426">
        <v>-1.938255166265054E-2</v>
      </c>
      <c r="D238" s="408"/>
      <c r="E238" s="408"/>
      <c r="F238" s="408"/>
      <c r="G238" s="408"/>
      <c r="H238" s="408"/>
      <c r="I238" s="408"/>
      <c r="J238" s="408"/>
      <c r="K238" s="408"/>
      <c r="L238" s="408"/>
      <c r="M238" s="408"/>
      <c r="N238" s="408"/>
    </row>
    <row r="239" spans="1:14">
      <c r="A239" s="424">
        <v>41486</v>
      </c>
      <c r="B239" s="426">
        <v>5.3951972695636057E-2</v>
      </c>
      <c r="C239" s="426">
        <v>1.9299709415699057E-2</v>
      </c>
      <c r="D239" s="408"/>
      <c r="E239" s="408"/>
      <c r="F239" s="408"/>
      <c r="G239" s="408"/>
      <c r="H239" s="408"/>
      <c r="I239" s="408"/>
      <c r="J239" s="408"/>
      <c r="K239" s="408"/>
      <c r="L239" s="408"/>
      <c r="M239" s="408"/>
      <c r="N239" s="408"/>
    </row>
    <row r="240" spans="1:14">
      <c r="A240" s="424">
        <v>41516</v>
      </c>
      <c r="B240" s="426">
        <v>4.2669776331156354E-3</v>
      </c>
      <c r="C240" s="426">
        <v>6.322629656467192E-3</v>
      </c>
      <c r="D240" s="408"/>
      <c r="E240" s="408"/>
      <c r="F240" s="408"/>
      <c r="G240" s="408"/>
      <c r="H240" s="408"/>
      <c r="I240" s="408"/>
      <c r="J240" s="408"/>
      <c r="K240" s="408"/>
      <c r="L240" s="408"/>
      <c r="M240" s="408"/>
      <c r="N240" s="408"/>
    </row>
    <row r="241" spans="1:17">
      <c r="A241" s="424">
        <v>41547</v>
      </c>
      <c r="B241" s="426">
        <v>3.596782037062856E-2</v>
      </c>
      <c r="C241" s="426">
        <v>1.8238556713603582E-2</v>
      </c>
      <c r="D241" s="408"/>
      <c r="E241" s="408"/>
      <c r="F241" s="408"/>
      <c r="G241" s="408"/>
      <c r="H241" s="408"/>
      <c r="I241" s="408"/>
      <c r="J241" s="408"/>
      <c r="K241" s="408"/>
      <c r="L241" s="408"/>
      <c r="M241" s="408"/>
      <c r="N241" s="408"/>
    </row>
    <row r="242" spans="1:17">
      <c r="A242" s="424">
        <v>41578</v>
      </c>
      <c r="B242" s="426">
        <v>5.2230119281132387E-2</v>
      </c>
      <c r="C242" s="426">
        <v>4.5747704995183752E-3</v>
      </c>
      <c r="D242" s="408"/>
      <c r="E242" s="408"/>
      <c r="F242" s="408"/>
      <c r="G242" s="408"/>
      <c r="H242" s="408"/>
      <c r="I242" s="408"/>
      <c r="J242" s="408"/>
      <c r="K242" s="408"/>
      <c r="L242" s="408"/>
      <c r="M242" s="408"/>
      <c r="N242" s="408"/>
    </row>
    <row r="243" spans="1:17">
      <c r="A243" s="424">
        <v>41607</v>
      </c>
      <c r="B243" s="426">
        <v>2.1216824194203256E-2</v>
      </c>
      <c r="C243" s="426">
        <v>1.1098578656771732E-2</v>
      </c>
      <c r="D243" s="408"/>
      <c r="E243" s="408"/>
      <c r="F243" s="408"/>
      <c r="G243" s="408"/>
      <c r="H243" s="408"/>
      <c r="I243" s="408"/>
      <c r="J243" s="408"/>
      <c r="K243" s="408"/>
      <c r="L243" s="408"/>
      <c r="M243" s="408"/>
      <c r="N243" s="408"/>
    </row>
    <row r="244" spans="1:17">
      <c r="A244" s="424">
        <v>41638</v>
      </c>
      <c r="B244" s="426">
        <v>1.4496386070982265E-2</v>
      </c>
      <c r="C244" s="426">
        <v>-3.9318541194775418E-3</v>
      </c>
      <c r="D244" s="408"/>
      <c r="E244" s="408"/>
      <c r="F244" s="408"/>
      <c r="G244" s="408"/>
      <c r="H244" s="408"/>
      <c r="I244" s="408"/>
      <c r="J244" s="408"/>
      <c r="K244" s="408"/>
      <c r="L244" s="408"/>
      <c r="M244" s="408"/>
      <c r="N244" s="408"/>
    </row>
    <row r="245" spans="1:17">
      <c r="A245" s="424">
        <v>41670</v>
      </c>
      <c r="B245" s="426">
        <v>-2.2588213671424107E-2</v>
      </c>
      <c r="C245" s="426">
        <v>1.257899172953013E-2</v>
      </c>
      <c r="D245" s="408"/>
      <c r="E245" s="408"/>
      <c r="F245" s="408"/>
      <c r="G245" s="408"/>
      <c r="H245" s="408"/>
      <c r="I245" s="408"/>
      <c r="J245" s="408"/>
      <c r="K245" s="408"/>
      <c r="L245" s="408"/>
      <c r="M245" s="408"/>
      <c r="N245" s="408"/>
    </row>
    <row r="246" spans="1:17">
      <c r="A246" s="424">
        <v>41698</v>
      </c>
      <c r="B246" s="426">
        <v>4.1350013700070298E-2</v>
      </c>
      <c r="C246" s="426">
        <v>3.236967260145724E-2</v>
      </c>
      <c r="D246" s="408"/>
      <c r="E246" s="408"/>
      <c r="F246" s="408"/>
      <c r="G246" s="408"/>
      <c r="H246" s="408"/>
      <c r="I246" s="408"/>
      <c r="J246" s="408"/>
      <c r="K246" s="408"/>
      <c r="L246" s="408"/>
      <c r="M246" s="408"/>
      <c r="N246" s="408"/>
    </row>
    <row r="247" spans="1:17">
      <c r="A247" s="424">
        <v>41729</v>
      </c>
      <c r="B247" s="426">
        <v>-2.5888897392058026E-2</v>
      </c>
      <c r="C247" s="426">
        <v>-5.5112686155365451E-3</v>
      </c>
      <c r="D247" s="408"/>
      <c r="E247" s="408"/>
      <c r="F247" s="408"/>
      <c r="G247" s="408"/>
      <c r="H247" s="408"/>
      <c r="I247" s="408"/>
      <c r="J247" s="408"/>
      <c r="K247" s="408"/>
      <c r="L247" s="408"/>
      <c r="M247" s="408"/>
      <c r="N247" s="408"/>
    </row>
    <row r="248" spans="1:17">
      <c r="A248" s="424">
        <v>41759</v>
      </c>
      <c r="B248" s="426">
        <v>-2.3442083314561716E-2</v>
      </c>
      <c r="C248" s="426">
        <v>-2.8166547541909016E-3</v>
      </c>
      <c r="D248" s="408"/>
      <c r="E248" s="408"/>
      <c r="F248" s="408"/>
      <c r="G248" s="408"/>
      <c r="H248" s="408"/>
      <c r="I248" s="408"/>
      <c r="J248" s="408"/>
      <c r="K248" s="408"/>
      <c r="L248" s="408"/>
      <c r="M248" s="408"/>
      <c r="N248" s="408"/>
    </row>
    <row r="249" spans="1:17">
      <c r="A249" s="424">
        <v>41789</v>
      </c>
      <c r="B249" s="426">
        <v>5.2540146068330656E-2</v>
      </c>
      <c r="C249" s="426">
        <v>-4.4620570801657457E-3</v>
      </c>
      <c r="D249" s="408"/>
      <c r="E249" s="408"/>
      <c r="F249" s="408"/>
      <c r="G249" s="408"/>
      <c r="H249" s="408"/>
      <c r="I249" s="408"/>
      <c r="J249" s="408"/>
      <c r="K249" s="408"/>
      <c r="L249" s="408"/>
      <c r="M249" s="408"/>
      <c r="N249" s="408"/>
    </row>
    <row r="250" spans="1:17">
      <c r="A250" s="424">
        <v>41820</v>
      </c>
      <c r="B250" s="426">
        <v>-8.1274807984067377E-3</v>
      </c>
      <c r="C250" s="426">
        <v>-1.4409545212897628E-2</v>
      </c>
      <c r="D250" s="408"/>
      <c r="E250" s="408"/>
      <c r="F250" s="408"/>
      <c r="G250" s="408"/>
      <c r="H250" s="408"/>
      <c r="I250" s="408"/>
      <c r="J250" s="408"/>
      <c r="K250" s="408"/>
      <c r="L250" s="408"/>
      <c r="M250" s="408"/>
      <c r="N250" s="408"/>
    </row>
    <row r="251" spans="1:17">
      <c r="A251" s="424">
        <v>41851</v>
      </c>
      <c r="B251" s="426">
        <v>-6.298657832327588E-2</v>
      </c>
      <c r="C251" s="426">
        <v>-2.2295732391784322E-2</v>
      </c>
      <c r="D251" s="408"/>
      <c r="E251" s="408"/>
      <c r="F251" s="408"/>
      <c r="G251" s="408"/>
      <c r="H251" s="408"/>
      <c r="I251" s="408"/>
      <c r="J251" s="408"/>
      <c r="K251" s="408"/>
      <c r="L251" s="408"/>
      <c r="M251" s="408"/>
      <c r="N251" s="408"/>
    </row>
    <row r="252" spans="1:17">
      <c r="A252" s="424">
        <v>41880</v>
      </c>
      <c r="B252" s="426">
        <v>1.8385930461956822E-2</v>
      </c>
      <c r="C252" s="426">
        <v>9.9378669478348489E-3</v>
      </c>
      <c r="D252" s="408"/>
      <c r="E252" s="408"/>
      <c r="F252" s="408"/>
      <c r="G252" s="408"/>
      <c r="H252" s="408"/>
      <c r="I252" s="408"/>
      <c r="J252" s="408"/>
      <c r="K252" s="408"/>
      <c r="L252" s="408"/>
      <c r="M252" s="408"/>
      <c r="N252" s="408"/>
    </row>
    <row r="253" spans="1:17">
      <c r="A253" s="424">
        <v>41912</v>
      </c>
      <c r="B253" s="426">
        <v>-5.7315171313751219E-3</v>
      </c>
      <c r="C253" s="426">
        <v>-1.0137866947834761E-2</v>
      </c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</row>
    <row r="255" spans="1:17" s="473" customFormat="1">
      <c r="A255" s="180" t="s">
        <v>485</v>
      </c>
      <c r="B255" s="177"/>
      <c r="C255" s="177"/>
      <c r="D255" s="177"/>
      <c r="E255" s="177"/>
      <c r="F255" s="177"/>
      <c r="G255" s="177"/>
      <c r="H255" s="177"/>
      <c r="I255" s="177"/>
      <c r="J255" s="177"/>
      <c r="K255" s="177"/>
      <c r="L255" s="177"/>
      <c r="M255" s="177"/>
      <c r="N255" s="177"/>
    </row>
    <row r="256" spans="1:17">
      <c r="A256" s="473"/>
      <c r="B256" s="473"/>
      <c r="C256" s="473"/>
      <c r="D256" s="473"/>
      <c r="E256" s="473"/>
      <c r="F256" s="473"/>
      <c r="G256" s="473"/>
      <c r="H256" s="473"/>
      <c r="I256" s="473"/>
      <c r="J256" s="473"/>
      <c r="K256" s="473"/>
      <c r="L256" s="473"/>
      <c r="M256" s="473"/>
      <c r="N256" s="473"/>
      <c r="O256" s="435"/>
      <c r="P256" s="435"/>
      <c r="Q256" s="423"/>
    </row>
    <row r="257" spans="1:17">
      <c r="A257" s="371" t="s">
        <v>123</v>
      </c>
      <c r="B257" s="371" t="s">
        <v>343</v>
      </c>
      <c r="C257" s="435"/>
      <c r="D257" s="390"/>
      <c r="E257" s="371" t="s">
        <v>378</v>
      </c>
      <c r="F257" s="371" t="s">
        <v>379</v>
      </c>
      <c r="G257" s="435"/>
      <c r="H257" s="438" t="s">
        <v>381</v>
      </c>
      <c r="I257" s="435"/>
      <c r="J257" s="435"/>
      <c r="K257" s="435"/>
      <c r="L257" s="435"/>
      <c r="M257" s="435"/>
      <c r="N257" s="435"/>
      <c r="O257" s="435"/>
      <c r="P257" s="435"/>
      <c r="Q257" s="423"/>
    </row>
    <row r="258" spans="1:17">
      <c r="A258" s="436">
        <v>39871</v>
      </c>
      <c r="B258" s="440">
        <v>-0.26230240111670883</v>
      </c>
      <c r="C258" s="435"/>
      <c r="D258" s="481" t="s">
        <v>380</v>
      </c>
      <c r="E258" s="454">
        <v>140974350</v>
      </c>
      <c r="F258" s="454">
        <v>6065650</v>
      </c>
      <c r="G258" s="435"/>
      <c r="H258" s="435" t="s">
        <v>382</v>
      </c>
      <c r="I258" s="435"/>
      <c r="J258" s="446">
        <v>1.5670442946522971E-2</v>
      </c>
      <c r="K258" s="435"/>
      <c r="L258" s="435"/>
      <c r="Q258" s="423"/>
    </row>
    <row r="259" spans="1:17">
      <c r="A259" s="436">
        <v>39903</v>
      </c>
      <c r="B259" s="440">
        <v>0.11932924807946083</v>
      </c>
      <c r="C259" s="435"/>
      <c r="D259" s="482" t="s">
        <v>27</v>
      </c>
      <c r="E259" s="453">
        <v>4.4091237052406827E-2</v>
      </c>
      <c r="F259" s="453">
        <v>2.2034245161571205E-2</v>
      </c>
      <c r="G259" s="435"/>
      <c r="H259" s="452" t="s">
        <v>384</v>
      </c>
      <c r="I259" s="435"/>
      <c r="J259" s="446">
        <v>0.20512964734298245</v>
      </c>
      <c r="K259" s="435"/>
      <c r="L259" s="435"/>
      <c r="Q259" s="423"/>
    </row>
    <row r="260" spans="1:17">
      <c r="A260" s="436">
        <v>39933</v>
      </c>
      <c r="B260" s="440">
        <v>0.18059434241407943</v>
      </c>
      <c r="C260" s="435"/>
      <c r="D260" s="482" t="s">
        <v>383</v>
      </c>
      <c r="E260" s="455">
        <v>0.95874829978237219</v>
      </c>
      <c r="F260" s="455">
        <v>4.1251700217627855E-2</v>
      </c>
      <c r="G260" s="435"/>
      <c r="H260" s="435"/>
      <c r="I260" s="435"/>
      <c r="J260" s="435"/>
      <c r="K260" s="435"/>
      <c r="L260" s="435"/>
      <c r="Q260" s="423"/>
    </row>
    <row r="261" spans="1:17">
      <c r="A261" s="436">
        <v>39962</v>
      </c>
      <c r="B261" s="440">
        <v>4.0771176666554824E-2</v>
      </c>
      <c r="C261" s="435"/>
      <c r="D261" s="384" t="s">
        <v>385</v>
      </c>
      <c r="E261" s="585">
        <v>4.3181348635223431E-2</v>
      </c>
      <c r="F261" s="584"/>
      <c r="G261" s="435"/>
      <c r="H261" s="435"/>
      <c r="I261" s="435"/>
      <c r="J261" s="435"/>
      <c r="K261" s="435"/>
      <c r="L261" s="435"/>
      <c r="Q261" s="423"/>
    </row>
    <row r="262" spans="1:17">
      <c r="A262" s="436">
        <v>39993</v>
      </c>
      <c r="B262" s="440">
        <v>-2.7472191223026195E-2</v>
      </c>
      <c r="C262" s="435"/>
      <c r="D262" s="435"/>
      <c r="E262" s="435"/>
      <c r="F262" s="435"/>
      <c r="G262" s="435"/>
      <c r="H262" s="435"/>
      <c r="I262" s="435"/>
      <c r="J262" s="435"/>
      <c r="K262" s="435"/>
      <c r="L262" s="435"/>
      <c r="Q262" s="423"/>
    </row>
    <row r="263" spans="1:17">
      <c r="A263" s="436">
        <v>40025</v>
      </c>
      <c r="B263" s="440">
        <v>7.3848543636432631E-2</v>
      </c>
      <c r="C263" s="435"/>
      <c r="D263" s="435" t="s">
        <v>386</v>
      </c>
      <c r="E263" s="435"/>
      <c r="F263" s="435"/>
      <c r="G263" s="435"/>
      <c r="H263" s="435" t="s">
        <v>378</v>
      </c>
      <c r="I263" s="435"/>
      <c r="J263" s="435"/>
      <c r="K263" s="438" t="s">
        <v>387</v>
      </c>
      <c r="L263" s="435"/>
      <c r="Q263" s="423"/>
    </row>
    <row r="264" spans="1:17">
      <c r="A264" s="436">
        <v>40056</v>
      </c>
      <c r="B264" s="440">
        <v>8.0156926126597555E-2</v>
      </c>
      <c r="C264" s="435"/>
      <c r="D264" s="435"/>
      <c r="E264" s="435"/>
      <c r="F264" s="435"/>
      <c r="G264" s="435"/>
      <c r="H264" s="435"/>
      <c r="I264" s="435"/>
      <c r="J264" s="435"/>
      <c r="K264" s="451">
        <v>7.9140429319562305E-4</v>
      </c>
      <c r="L264" s="435" t="s">
        <v>390</v>
      </c>
      <c r="Q264" s="423"/>
    </row>
    <row r="265" spans="1:17" ht="18">
      <c r="A265" s="436">
        <v>40086</v>
      </c>
      <c r="B265" s="440">
        <v>9.0250987694882184E-2</v>
      </c>
      <c r="C265" s="435"/>
      <c r="D265" s="435"/>
      <c r="E265" s="435"/>
      <c r="F265" s="435"/>
      <c r="G265" s="435"/>
      <c r="H265" s="437" t="s">
        <v>123</v>
      </c>
      <c r="I265" s="439" t="s">
        <v>388</v>
      </c>
      <c r="J265" s="435" t="s">
        <v>389</v>
      </c>
      <c r="K265" s="447">
        <v>9.5382979306650739E-3</v>
      </c>
      <c r="L265" s="447"/>
      <c r="Q265" s="423"/>
    </row>
    <row r="266" spans="1:17">
      <c r="A266" s="436">
        <v>40116</v>
      </c>
      <c r="B266" s="440">
        <v>-8.9077510158436929E-2</v>
      </c>
      <c r="C266" s="435"/>
      <c r="D266" s="435"/>
      <c r="E266" s="435"/>
      <c r="F266" s="435"/>
      <c r="G266" s="435"/>
      <c r="H266" s="437">
        <v>201312</v>
      </c>
      <c r="I266" s="437">
        <v>1E-4</v>
      </c>
      <c r="J266" s="435" t="s">
        <v>391</v>
      </c>
      <c r="K266" s="435"/>
      <c r="L266" s="435"/>
      <c r="Q266" s="423"/>
    </row>
    <row r="267" spans="1:17">
      <c r="A267" s="436">
        <v>40147</v>
      </c>
      <c r="B267" s="440">
        <v>5.31107012224405E-2</v>
      </c>
      <c r="C267" s="435"/>
      <c r="D267" s="435"/>
      <c r="E267" s="435"/>
      <c r="F267" s="435"/>
      <c r="G267" s="435"/>
      <c r="H267" s="435"/>
      <c r="I267" s="435"/>
      <c r="J267" s="435"/>
      <c r="K267" s="438" t="s">
        <v>393</v>
      </c>
      <c r="L267" s="435"/>
      <c r="Q267" s="423"/>
    </row>
    <row r="268" spans="1:17">
      <c r="A268" s="436">
        <v>40178</v>
      </c>
      <c r="B268" s="440">
        <v>9.192964004899723E-2</v>
      </c>
      <c r="C268" s="435"/>
      <c r="D268" s="435"/>
      <c r="E268" s="435"/>
      <c r="F268" s="435"/>
      <c r="G268" s="435"/>
      <c r="H268" s="448" t="s">
        <v>392</v>
      </c>
      <c r="I268" s="449">
        <v>1.2006602200491656E-3</v>
      </c>
      <c r="J268" s="435"/>
      <c r="K268" s="483">
        <v>0.85781153664715315</v>
      </c>
      <c r="L268" s="435" t="s">
        <v>394</v>
      </c>
      <c r="Q268" s="423"/>
    </row>
    <row r="269" spans="1:17">
      <c r="A269" s="436">
        <v>40207</v>
      </c>
      <c r="B269" s="440">
        <v>-4.2884783188096215E-2</v>
      </c>
      <c r="C269" s="435"/>
      <c r="D269" s="435"/>
      <c r="E269" s="435"/>
      <c r="F269" s="435"/>
      <c r="G269" s="435"/>
      <c r="H269" s="435"/>
      <c r="I269" s="435"/>
      <c r="J269" s="435"/>
      <c r="K269" s="435"/>
      <c r="L269" s="435"/>
      <c r="Q269" s="423"/>
    </row>
    <row r="270" spans="1:17">
      <c r="A270" s="436">
        <v>40235</v>
      </c>
      <c r="B270" s="440">
        <v>3.6905313920108929E-2</v>
      </c>
      <c r="C270" s="435"/>
      <c r="D270" s="435"/>
      <c r="E270" s="435"/>
      <c r="F270" s="435"/>
      <c r="G270" s="435"/>
      <c r="H270" s="435"/>
      <c r="I270" s="435"/>
      <c r="J270" s="435"/>
      <c r="K270" s="435"/>
      <c r="L270" s="435"/>
      <c r="Q270" s="423"/>
    </row>
    <row r="271" spans="1:17">
      <c r="A271" s="436">
        <v>40268</v>
      </c>
      <c r="B271" s="440">
        <v>6.4415505968756781E-2</v>
      </c>
      <c r="C271" s="435"/>
      <c r="D271" s="435"/>
      <c r="E271" s="435"/>
      <c r="F271" s="435"/>
      <c r="G271" s="435"/>
      <c r="H271" s="435"/>
      <c r="I271" s="435"/>
      <c r="J271" s="435"/>
      <c r="K271" s="435"/>
      <c r="L271" s="435"/>
      <c r="Q271" s="423"/>
    </row>
    <row r="272" spans="1:17">
      <c r="A272" s="436">
        <v>40298</v>
      </c>
      <c r="B272" s="440">
        <v>-4.5255191984708149E-2</v>
      </c>
      <c r="C272" s="435"/>
      <c r="D272" s="435"/>
      <c r="E272" s="435"/>
      <c r="F272" s="435"/>
      <c r="G272" s="435"/>
      <c r="H272" s="435" t="s">
        <v>379</v>
      </c>
      <c r="I272" s="435"/>
      <c r="J272" s="435"/>
      <c r="K272" s="435"/>
      <c r="L272" s="435"/>
      <c r="Q272" s="435"/>
    </row>
    <row r="273" spans="1:17">
      <c r="A273" s="436">
        <v>40329</v>
      </c>
      <c r="B273" s="440">
        <v>2.9755833186030169E-2</v>
      </c>
      <c r="C273" s="435"/>
      <c r="D273" s="435"/>
      <c r="E273" s="435"/>
      <c r="F273" s="435"/>
      <c r="G273" s="435"/>
      <c r="H273" s="435"/>
      <c r="I273" s="435"/>
      <c r="J273" s="435"/>
      <c r="K273" s="438" t="s">
        <v>387</v>
      </c>
      <c r="L273" s="435"/>
      <c r="Q273" s="435"/>
    </row>
    <row r="274" spans="1:17" ht="18">
      <c r="A274" s="436">
        <v>40359</v>
      </c>
      <c r="B274" s="440">
        <v>-3.7709955017587601E-2</v>
      </c>
      <c r="C274" s="435"/>
      <c r="D274" s="435"/>
      <c r="E274" s="435"/>
      <c r="F274" s="435"/>
      <c r="G274" s="435"/>
      <c r="H274" s="437" t="s">
        <v>123</v>
      </c>
      <c r="I274" s="439" t="s">
        <v>388</v>
      </c>
      <c r="J274" s="435" t="s">
        <v>389</v>
      </c>
      <c r="K274" s="450">
        <v>6.0389232190533274E-3</v>
      </c>
      <c r="L274" s="435" t="s">
        <v>390</v>
      </c>
    </row>
    <row r="275" spans="1:17">
      <c r="A275" s="436">
        <v>40389</v>
      </c>
      <c r="B275" s="440">
        <v>9.0006769907380491E-2</v>
      </c>
      <c r="C275" s="435"/>
      <c r="D275" s="435"/>
      <c r="E275" s="435"/>
      <c r="F275" s="435"/>
      <c r="G275" s="435"/>
      <c r="H275" s="437">
        <v>201312</v>
      </c>
      <c r="I275" s="437">
        <v>1E-4</v>
      </c>
      <c r="J275" s="435" t="s">
        <v>391</v>
      </c>
      <c r="K275" s="447">
        <v>7.4923121372755919E-2</v>
      </c>
      <c r="L275" s="447"/>
    </row>
    <row r="276" spans="1:17">
      <c r="A276" s="436">
        <v>40421</v>
      </c>
      <c r="B276" s="440">
        <v>-1.2385438013695058E-2</v>
      </c>
      <c r="C276" s="435"/>
      <c r="D276" s="435"/>
      <c r="E276" s="435"/>
      <c r="F276" s="435"/>
      <c r="G276" s="435"/>
      <c r="H276" s="435"/>
      <c r="I276" s="435"/>
      <c r="J276" s="435"/>
      <c r="K276" s="435"/>
      <c r="L276" s="435"/>
    </row>
    <row r="277" spans="1:17">
      <c r="A277" s="436">
        <v>40451</v>
      </c>
      <c r="B277" s="440">
        <v>2.8220625252513353E-2</v>
      </c>
      <c r="C277" s="435"/>
      <c r="D277" s="435"/>
      <c r="E277" s="435"/>
      <c r="F277" s="435"/>
      <c r="G277" s="435"/>
      <c r="H277" s="448" t="s">
        <v>392</v>
      </c>
      <c r="I277" s="449">
        <v>1.2006602200491656E-3</v>
      </c>
      <c r="J277" s="435"/>
      <c r="K277" s="438" t="s">
        <v>393</v>
      </c>
      <c r="L277" s="435"/>
    </row>
    <row r="278" spans="1:17">
      <c r="A278" s="436">
        <v>40480</v>
      </c>
      <c r="B278" s="440">
        <v>7.6210499520714528E-2</v>
      </c>
      <c r="C278" s="435"/>
      <c r="D278" s="435"/>
      <c r="E278" s="435"/>
      <c r="F278" s="435"/>
      <c r="G278" s="435"/>
      <c r="H278" s="435"/>
      <c r="I278" s="435"/>
      <c r="J278" s="435"/>
      <c r="K278" s="483">
        <v>0.41667169883044075</v>
      </c>
      <c r="L278" s="435" t="s">
        <v>394</v>
      </c>
    </row>
    <row r="279" spans="1:17">
      <c r="A279" s="436">
        <v>40512</v>
      </c>
      <c r="B279" s="440">
        <v>3.7718481345441021E-2</v>
      </c>
      <c r="C279" s="435"/>
      <c r="D279" s="435"/>
      <c r="E279" s="435"/>
      <c r="F279" s="435"/>
      <c r="G279" s="435"/>
      <c r="H279" s="435"/>
      <c r="I279" s="435"/>
      <c r="J279" s="435"/>
      <c r="K279" s="435"/>
      <c r="L279" s="435"/>
    </row>
    <row r="280" spans="1:17">
      <c r="A280" s="436">
        <v>40542</v>
      </c>
      <c r="B280" s="440">
        <v>4.191767668993418E-2</v>
      </c>
      <c r="C280" s="435"/>
      <c r="D280" s="435"/>
      <c r="E280" s="435"/>
      <c r="F280" s="435"/>
      <c r="G280" s="435"/>
      <c r="H280" s="217" t="s">
        <v>486</v>
      </c>
      <c r="I280" s="578">
        <f>K268*E260+K278*F260</f>
        <v>0.83961376830348522</v>
      </c>
      <c r="J280" s="578"/>
      <c r="K280" s="578"/>
      <c r="L280" s="578"/>
      <c r="Q280" s="435"/>
    </row>
    <row r="281" spans="1:17">
      <c r="A281" s="436">
        <v>40574</v>
      </c>
      <c r="B281" s="440">
        <v>6.109740027209546E-3</v>
      </c>
      <c r="C281" s="435"/>
      <c r="D281" s="435"/>
      <c r="E281" s="435"/>
      <c r="F281" s="435"/>
      <c r="G281" s="435"/>
      <c r="H281" s="435"/>
      <c r="I281" s="435"/>
      <c r="J281" s="435"/>
      <c r="K281" s="435"/>
      <c r="Q281" s="435"/>
    </row>
    <row r="282" spans="1:17">
      <c r="A282" s="436">
        <v>40602</v>
      </c>
      <c r="B282" s="440">
        <v>-5.906995464956607E-3</v>
      </c>
      <c r="C282" s="435"/>
      <c r="D282" s="435"/>
      <c r="E282" s="435"/>
      <c r="F282" s="435"/>
      <c r="G282" s="435"/>
      <c r="H282" s="435"/>
      <c r="I282" s="435"/>
      <c r="J282" s="435"/>
      <c r="K282" s="435"/>
      <c r="L282" s="435"/>
      <c r="M282" s="435"/>
      <c r="N282" s="435"/>
      <c r="O282" s="435"/>
      <c r="P282" s="435"/>
      <c r="Q282" s="435"/>
    </row>
    <row r="283" spans="1:17">
      <c r="A283" s="436">
        <v>40633</v>
      </c>
      <c r="B283" s="440">
        <v>3.6587829621655139E-2</v>
      </c>
      <c r="C283" s="435"/>
      <c r="D283" s="435"/>
      <c r="E283" s="435"/>
      <c r="F283" s="435"/>
      <c r="G283" s="435"/>
      <c r="H283" s="435"/>
      <c r="I283" s="435"/>
      <c r="J283" s="435"/>
      <c r="K283" s="435"/>
      <c r="L283" s="435"/>
      <c r="M283" s="435"/>
      <c r="N283" s="435"/>
      <c r="O283" s="435"/>
      <c r="P283" s="435"/>
      <c r="Q283" s="435"/>
    </row>
    <row r="284" spans="1:17">
      <c r="A284" s="436">
        <v>40662</v>
      </c>
      <c r="B284" s="440">
        <v>1.7662856365521975E-2</v>
      </c>
      <c r="C284" s="435"/>
      <c r="D284" s="435"/>
      <c r="E284" s="435"/>
      <c r="F284" s="435"/>
      <c r="G284" s="435"/>
      <c r="H284" s="435"/>
      <c r="I284" s="435"/>
      <c r="J284" s="435"/>
      <c r="K284" s="435"/>
      <c r="L284" s="435"/>
      <c r="M284" s="435"/>
      <c r="N284" s="435"/>
      <c r="O284" s="435"/>
      <c r="P284" s="435"/>
      <c r="Q284" s="435"/>
    </row>
    <row r="285" spans="1:17">
      <c r="A285" s="436">
        <v>40694</v>
      </c>
      <c r="B285" s="440">
        <v>-6.7814977665773338E-3</v>
      </c>
      <c r="C285" s="435"/>
      <c r="D285" s="435"/>
      <c r="E285" s="435"/>
      <c r="F285" s="435"/>
      <c r="G285" s="435"/>
      <c r="H285" s="435"/>
      <c r="I285" s="435"/>
      <c r="J285" s="435"/>
      <c r="K285" s="435"/>
      <c r="L285" s="435"/>
      <c r="M285" s="435"/>
      <c r="N285" s="435"/>
      <c r="O285" s="435"/>
      <c r="P285" s="435"/>
      <c r="Q285" s="435"/>
    </row>
    <row r="286" spans="1:17">
      <c r="A286" s="436">
        <v>40724</v>
      </c>
      <c r="B286" s="440">
        <v>3.7308061621481516E-2</v>
      </c>
      <c r="C286" s="435"/>
      <c r="D286" s="435"/>
      <c r="E286" s="435"/>
      <c r="F286" s="435"/>
      <c r="G286" s="435"/>
      <c r="H286" s="435"/>
      <c r="I286" s="435"/>
      <c r="J286" s="435"/>
      <c r="K286" s="435"/>
      <c r="L286" s="435"/>
      <c r="M286" s="435"/>
      <c r="N286" s="435"/>
      <c r="O286" s="435"/>
      <c r="P286" s="435"/>
      <c r="Q286" s="435"/>
    </row>
    <row r="287" spans="1:17">
      <c r="A287" s="436">
        <v>40753</v>
      </c>
      <c r="B287" s="440">
        <v>-0.10764252622975069</v>
      </c>
      <c r="C287" s="435"/>
      <c r="D287" s="435"/>
      <c r="E287" s="435"/>
      <c r="F287" s="435"/>
      <c r="G287" s="435"/>
      <c r="H287" s="435"/>
      <c r="I287" s="435"/>
      <c r="J287" s="435"/>
      <c r="K287" s="435"/>
      <c r="L287" s="435"/>
      <c r="M287" s="435"/>
      <c r="N287" s="435"/>
      <c r="O287" s="435"/>
      <c r="P287" s="435"/>
      <c r="Q287" s="435"/>
    </row>
    <row r="288" spans="1:17">
      <c r="A288" s="436">
        <v>40786</v>
      </c>
      <c r="B288" s="440">
        <v>-0.1193717901832561</v>
      </c>
      <c r="C288" s="435"/>
      <c r="D288" s="435"/>
      <c r="E288" s="435"/>
      <c r="F288" s="435"/>
      <c r="G288" s="435"/>
      <c r="H288" s="435"/>
      <c r="I288" s="435"/>
      <c r="J288" s="435"/>
      <c r="K288" s="435"/>
      <c r="L288" s="435"/>
      <c r="M288" s="435"/>
      <c r="N288" s="435"/>
      <c r="O288" s="423"/>
      <c r="P288" s="423"/>
      <c r="Q288" s="423"/>
    </row>
    <row r="289" spans="1:17">
      <c r="A289" s="436">
        <v>40816</v>
      </c>
      <c r="B289" s="440">
        <v>-0.12714417548482571</v>
      </c>
      <c r="C289" s="423"/>
      <c r="D289" s="423"/>
      <c r="E289" s="423"/>
      <c r="F289" s="423"/>
      <c r="G289" s="423"/>
      <c r="H289" s="423"/>
      <c r="I289" s="423"/>
      <c r="J289" s="423"/>
      <c r="K289" s="423"/>
      <c r="L289" s="423"/>
      <c r="M289" s="423"/>
      <c r="N289" s="423"/>
      <c r="O289" s="423"/>
      <c r="P289" s="423"/>
      <c r="Q289" s="423"/>
    </row>
    <row r="290" spans="1:17">
      <c r="A290" s="436">
        <v>40847</v>
      </c>
      <c r="B290" s="440">
        <v>0.12897549144580359</v>
      </c>
      <c r="C290" s="423"/>
      <c r="D290" s="423"/>
      <c r="E290" s="423"/>
      <c r="F290" s="423"/>
      <c r="G290" s="423"/>
      <c r="H290" s="423"/>
      <c r="I290" s="423"/>
      <c r="J290" s="423"/>
      <c r="K290" s="423"/>
      <c r="L290" s="423"/>
      <c r="M290" s="423"/>
      <c r="N290" s="423"/>
      <c r="O290" s="423"/>
      <c r="P290" s="423"/>
      <c r="Q290" s="423"/>
    </row>
    <row r="291" spans="1:17">
      <c r="A291" s="436">
        <v>40877</v>
      </c>
      <c r="B291" s="440">
        <v>1.4660432128842812E-2</v>
      </c>
      <c r="C291" s="423"/>
      <c r="D291" s="423"/>
      <c r="E291" s="423"/>
      <c r="F291" s="423"/>
      <c r="G291" s="423"/>
      <c r="H291" s="423"/>
      <c r="I291" s="423"/>
      <c r="J291" s="423"/>
      <c r="K291" s="423"/>
      <c r="L291" s="423"/>
      <c r="M291" s="423"/>
      <c r="N291" s="423"/>
      <c r="O291" s="423"/>
      <c r="P291" s="423"/>
      <c r="Q291" s="423"/>
    </row>
    <row r="292" spans="1:17">
      <c r="A292" s="436">
        <v>40907</v>
      </c>
      <c r="B292" s="440">
        <v>2.6464672792487126E-2</v>
      </c>
      <c r="C292" s="423"/>
      <c r="D292" s="423"/>
      <c r="E292" s="423"/>
      <c r="F292" s="423"/>
      <c r="G292" s="423"/>
      <c r="H292" s="423"/>
      <c r="I292" s="423"/>
      <c r="J292" s="423"/>
      <c r="K292" s="423"/>
      <c r="L292" s="423"/>
      <c r="M292" s="423"/>
      <c r="N292" s="423"/>
      <c r="O292" s="423"/>
      <c r="P292" s="423"/>
      <c r="Q292" s="423"/>
    </row>
    <row r="293" spans="1:17">
      <c r="A293" s="436">
        <v>40939</v>
      </c>
      <c r="B293" s="440">
        <v>0.10111969421754195</v>
      </c>
      <c r="C293" s="423"/>
      <c r="D293" s="423"/>
      <c r="E293" s="423"/>
      <c r="F293" s="423"/>
      <c r="G293" s="423"/>
      <c r="H293" s="423"/>
      <c r="I293" s="423"/>
      <c r="J293" s="423"/>
      <c r="K293" s="423"/>
      <c r="L293" s="423"/>
      <c r="M293" s="423"/>
      <c r="N293" s="423"/>
      <c r="O293" s="423"/>
      <c r="P293" s="423"/>
      <c r="Q293" s="423"/>
    </row>
    <row r="294" spans="1:17">
      <c r="A294" s="436">
        <v>40968</v>
      </c>
      <c r="B294" s="440">
        <v>2.8634669317603209E-2</v>
      </c>
      <c r="C294" s="423"/>
      <c r="D294" s="423"/>
      <c r="E294" s="423"/>
      <c r="F294" s="423"/>
      <c r="G294" s="423"/>
      <c r="H294" s="423"/>
      <c r="I294" s="423"/>
      <c r="J294" s="423"/>
      <c r="K294" s="423"/>
      <c r="L294" s="423"/>
      <c r="M294" s="423"/>
      <c r="N294" s="423"/>
      <c r="O294" s="423"/>
      <c r="P294" s="423"/>
      <c r="Q294" s="423"/>
    </row>
    <row r="295" spans="1:17">
      <c r="A295" s="436">
        <v>40998</v>
      </c>
      <c r="B295" s="440">
        <v>3.2027645227529433E-2</v>
      </c>
      <c r="C295" s="423"/>
      <c r="D295" s="423"/>
      <c r="E295" s="423"/>
      <c r="F295" s="423"/>
      <c r="G295" s="423"/>
      <c r="H295" s="423"/>
      <c r="I295" s="423"/>
      <c r="J295" s="423"/>
      <c r="K295" s="423"/>
      <c r="L295" s="423"/>
      <c r="M295" s="423"/>
      <c r="N295" s="423"/>
      <c r="O295" s="423"/>
      <c r="P295" s="423"/>
      <c r="Q295" s="423"/>
    </row>
    <row r="296" spans="1:17">
      <c r="A296" s="436">
        <v>41029</v>
      </c>
      <c r="B296" s="440">
        <v>-3.6447773864440111E-4</v>
      </c>
      <c r="C296" s="423"/>
      <c r="D296" s="423"/>
      <c r="E296" s="423"/>
      <c r="F296" s="423"/>
      <c r="G296" s="423"/>
      <c r="H296" s="423"/>
      <c r="I296" s="423"/>
      <c r="J296" s="423"/>
      <c r="K296" s="423"/>
      <c r="L296" s="423"/>
      <c r="M296" s="423"/>
      <c r="N296" s="423"/>
      <c r="O296" s="423"/>
      <c r="P296" s="423"/>
      <c r="Q296" s="423"/>
    </row>
    <row r="297" spans="1:17">
      <c r="A297" s="436">
        <v>41060</v>
      </c>
      <c r="B297" s="440">
        <v>-0.11055337625599485</v>
      </c>
      <c r="C297" s="423"/>
      <c r="D297" s="423"/>
      <c r="E297" s="423"/>
      <c r="F297" s="423"/>
      <c r="G297" s="423"/>
      <c r="H297" s="423"/>
      <c r="I297" s="423"/>
      <c r="J297" s="423"/>
      <c r="K297" s="423"/>
      <c r="L297" s="423"/>
      <c r="M297" s="423"/>
      <c r="N297" s="423"/>
      <c r="O297" s="423"/>
      <c r="P297" s="423"/>
      <c r="Q297" s="423"/>
    </row>
    <row r="298" spans="1:17">
      <c r="A298" s="436">
        <v>41089</v>
      </c>
      <c r="B298" s="440">
        <v>9.1237508830096084E-2</v>
      </c>
      <c r="C298" s="423"/>
      <c r="D298" s="423"/>
      <c r="E298" s="423"/>
      <c r="F298" s="423"/>
      <c r="G298" s="423"/>
      <c r="H298" s="423"/>
      <c r="I298" s="423"/>
      <c r="J298" s="423"/>
      <c r="K298" s="423"/>
      <c r="L298" s="423"/>
      <c r="M298" s="423"/>
      <c r="N298" s="423"/>
      <c r="O298" s="423"/>
      <c r="P298" s="423"/>
      <c r="Q298" s="423"/>
    </row>
    <row r="299" spans="1:17">
      <c r="A299" s="436">
        <v>41121</v>
      </c>
      <c r="B299" s="440">
        <v>2.7180871430492761E-3</v>
      </c>
      <c r="C299" s="423"/>
      <c r="D299" s="423"/>
      <c r="E299" s="423"/>
      <c r="F299" s="423"/>
      <c r="G299" s="423"/>
      <c r="H299" s="423"/>
      <c r="I299" s="423"/>
      <c r="J299" s="423"/>
      <c r="K299" s="423"/>
      <c r="L299" s="423"/>
      <c r="M299" s="423"/>
      <c r="N299" s="423"/>
      <c r="O299" s="423"/>
      <c r="P299" s="423"/>
      <c r="Q299" s="423"/>
    </row>
    <row r="300" spans="1:17">
      <c r="A300" s="436">
        <v>41152</v>
      </c>
      <c r="B300" s="440">
        <v>2.0686251473629989E-2</v>
      </c>
      <c r="C300" s="423"/>
      <c r="D300" s="423"/>
      <c r="E300" s="423"/>
      <c r="F300" s="423"/>
      <c r="G300" s="423"/>
      <c r="H300" s="423"/>
      <c r="I300" s="423"/>
      <c r="J300" s="423"/>
      <c r="K300" s="423"/>
      <c r="L300" s="423"/>
      <c r="M300" s="423"/>
      <c r="N300" s="423"/>
      <c r="O300" s="423"/>
      <c r="P300" s="423"/>
      <c r="Q300" s="423"/>
    </row>
    <row r="301" spans="1:17">
      <c r="A301" s="436">
        <v>41180</v>
      </c>
      <c r="B301" s="440">
        <v>2.2756448179806991E-2</v>
      </c>
      <c r="C301" s="423"/>
      <c r="D301" s="423"/>
      <c r="E301" s="423"/>
      <c r="F301" s="423"/>
      <c r="G301" s="423"/>
      <c r="H301" s="423"/>
      <c r="I301" s="423"/>
      <c r="J301" s="423"/>
      <c r="K301" s="423"/>
      <c r="L301" s="423"/>
      <c r="M301" s="423"/>
      <c r="N301" s="423"/>
      <c r="O301" s="423"/>
      <c r="P301" s="423"/>
      <c r="Q301" s="423"/>
    </row>
    <row r="302" spans="1:17">
      <c r="A302" s="436">
        <v>41213</v>
      </c>
      <c r="B302" s="440">
        <v>4.1627947884372275E-2</v>
      </c>
      <c r="C302" s="423"/>
      <c r="D302" s="423"/>
      <c r="E302" s="423"/>
      <c r="F302" s="423"/>
      <c r="G302" s="423"/>
      <c r="H302" s="423"/>
      <c r="I302" s="423"/>
      <c r="J302" s="423"/>
      <c r="K302" s="423"/>
      <c r="L302" s="423"/>
      <c r="M302" s="423"/>
      <c r="N302" s="423"/>
      <c r="O302" s="423"/>
      <c r="P302" s="423"/>
      <c r="Q302" s="423"/>
    </row>
    <row r="303" spans="1:17">
      <c r="A303" s="436">
        <v>41243</v>
      </c>
      <c r="B303" s="440">
        <v>-9.9235817793200294E-4</v>
      </c>
      <c r="C303" s="423"/>
      <c r="D303" s="423"/>
      <c r="E303" s="423"/>
      <c r="F303" s="423"/>
      <c r="G303" s="423"/>
      <c r="H303" s="423"/>
      <c r="I303" s="423"/>
      <c r="J303" s="423"/>
      <c r="K303" s="423"/>
      <c r="L303" s="423"/>
      <c r="M303" s="423"/>
      <c r="N303" s="423"/>
      <c r="O303" s="423"/>
      <c r="P303" s="423"/>
      <c r="Q303" s="423"/>
    </row>
    <row r="304" spans="1:17">
      <c r="A304" s="436">
        <v>41271</v>
      </c>
      <c r="B304" s="440">
        <v>4.4818824384294999E-2</v>
      </c>
      <c r="C304" s="423"/>
      <c r="D304" s="423"/>
      <c r="E304" s="423"/>
      <c r="F304" s="423"/>
      <c r="G304" s="423"/>
      <c r="H304" s="423"/>
      <c r="I304" s="423"/>
      <c r="J304" s="423"/>
      <c r="K304" s="423"/>
      <c r="L304" s="423"/>
      <c r="M304" s="423"/>
      <c r="N304" s="423"/>
      <c r="O304" s="423"/>
      <c r="P304" s="423"/>
      <c r="Q304" s="423"/>
    </row>
    <row r="305" spans="1:17">
      <c r="A305" s="436">
        <v>41305</v>
      </c>
      <c r="B305" s="440">
        <v>4.8702823965801056E-2</v>
      </c>
      <c r="C305" s="423"/>
      <c r="D305" s="423"/>
      <c r="E305" s="423"/>
      <c r="F305" s="423"/>
      <c r="G305" s="423"/>
      <c r="H305" s="423"/>
      <c r="I305" s="423"/>
      <c r="J305" s="423"/>
      <c r="K305" s="423"/>
      <c r="L305" s="423"/>
      <c r="M305" s="423"/>
      <c r="N305" s="423"/>
      <c r="O305" s="423"/>
      <c r="P305" s="423"/>
      <c r="Q305" s="423"/>
    </row>
    <row r="306" spans="1:17">
      <c r="A306" s="436">
        <v>41333</v>
      </c>
      <c r="B306" s="440">
        <v>3.8715876060754793E-2</v>
      </c>
      <c r="C306" s="423"/>
      <c r="D306" s="423"/>
      <c r="E306" s="423"/>
      <c r="F306" s="423"/>
      <c r="G306" s="423"/>
      <c r="H306" s="423"/>
      <c r="I306" s="423"/>
      <c r="J306" s="423"/>
      <c r="K306" s="423"/>
      <c r="L306" s="423"/>
      <c r="M306" s="423"/>
      <c r="N306" s="423"/>
      <c r="O306" s="423"/>
      <c r="P306" s="423"/>
      <c r="Q306" s="423"/>
    </row>
    <row r="307" spans="1:17">
      <c r="A307" s="436">
        <v>41361</v>
      </c>
      <c r="B307" s="440">
        <v>1.9326409255163875E-2</v>
      </c>
      <c r="C307" s="423"/>
      <c r="D307" s="423"/>
      <c r="E307" s="423"/>
      <c r="F307" s="423"/>
      <c r="G307" s="423"/>
      <c r="H307" s="423"/>
      <c r="I307" s="423"/>
      <c r="J307" s="423"/>
      <c r="K307" s="423"/>
      <c r="L307" s="423"/>
      <c r="M307" s="423"/>
      <c r="N307" s="423"/>
      <c r="O307" s="423"/>
      <c r="P307" s="423"/>
      <c r="Q307" s="423"/>
    </row>
    <row r="308" spans="1:17">
      <c r="A308" s="436">
        <v>41394</v>
      </c>
      <c r="B308" s="440">
        <v>-1.1107117054501353E-3</v>
      </c>
      <c r="C308" s="423"/>
      <c r="D308" s="423"/>
      <c r="E308" s="423"/>
      <c r="F308" s="423"/>
      <c r="G308" s="423"/>
      <c r="H308" s="423"/>
      <c r="I308" s="423"/>
      <c r="J308" s="423"/>
      <c r="K308" s="423"/>
      <c r="L308" s="423"/>
      <c r="M308" s="423"/>
      <c r="N308" s="423"/>
      <c r="O308" s="423"/>
      <c r="P308" s="423"/>
      <c r="Q308" s="423"/>
    </row>
    <row r="309" spans="1:17">
      <c r="A309" s="436">
        <v>41425</v>
      </c>
      <c r="B309" s="440">
        <v>3.2137325733552304E-2</v>
      </c>
      <c r="C309" s="423"/>
      <c r="D309" s="423"/>
      <c r="E309" s="423"/>
      <c r="F309" s="423"/>
      <c r="G309" s="423"/>
      <c r="H309" s="423"/>
      <c r="I309" s="423"/>
      <c r="J309" s="423"/>
      <c r="K309" s="423"/>
      <c r="L309" s="423"/>
      <c r="M309" s="423"/>
      <c r="N309" s="423"/>
      <c r="O309" s="423"/>
      <c r="P309" s="423"/>
      <c r="Q309" s="423"/>
    </row>
    <row r="310" spans="1:17">
      <c r="A310" s="436">
        <v>41453</v>
      </c>
      <c r="B310" s="440">
        <v>-1.0516787128267754E-2</v>
      </c>
      <c r="C310" s="423"/>
      <c r="D310" s="423"/>
      <c r="E310" s="423"/>
      <c r="F310" s="423"/>
      <c r="G310" s="423"/>
      <c r="H310" s="423"/>
      <c r="I310" s="423"/>
      <c r="J310" s="423"/>
      <c r="K310" s="423"/>
      <c r="L310" s="423"/>
      <c r="M310" s="423"/>
      <c r="N310" s="423"/>
      <c r="O310" s="423"/>
      <c r="P310" s="423"/>
      <c r="Q310" s="423"/>
    </row>
    <row r="311" spans="1:17">
      <c r="A311" s="436">
        <v>41486</v>
      </c>
      <c r="B311" s="440">
        <v>5.3951972695636057E-2</v>
      </c>
      <c r="C311" s="423"/>
      <c r="D311" s="423"/>
      <c r="E311" s="423"/>
      <c r="F311" s="423"/>
      <c r="G311" s="423"/>
      <c r="H311" s="423"/>
      <c r="I311" s="423"/>
      <c r="J311" s="423"/>
      <c r="K311" s="423"/>
      <c r="L311" s="423"/>
      <c r="M311" s="423"/>
      <c r="N311" s="423"/>
      <c r="O311" s="423"/>
      <c r="P311" s="423"/>
      <c r="Q311" s="423"/>
    </row>
    <row r="312" spans="1:17">
      <c r="A312" s="436">
        <v>41516</v>
      </c>
      <c r="B312" s="440">
        <v>4.2669776331156354E-3</v>
      </c>
      <c r="C312" s="423"/>
      <c r="D312" s="423"/>
      <c r="E312" s="423"/>
      <c r="F312" s="423"/>
      <c r="G312" s="423"/>
      <c r="H312" s="423"/>
      <c r="I312" s="423"/>
      <c r="J312" s="423"/>
      <c r="K312" s="423"/>
      <c r="L312" s="423"/>
      <c r="M312" s="423"/>
      <c r="N312" s="423"/>
      <c r="O312" s="423"/>
      <c r="P312" s="423"/>
      <c r="Q312" s="423"/>
    </row>
    <row r="313" spans="1:17">
      <c r="A313" s="436">
        <v>41547</v>
      </c>
      <c r="B313" s="440">
        <v>3.596782037062856E-2</v>
      </c>
      <c r="C313" s="423"/>
      <c r="D313" s="423"/>
      <c r="E313" s="423"/>
      <c r="F313" s="423"/>
      <c r="G313" s="423"/>
      <c r="H313" s="423"/>
      <c r="I313" s="423"/>
      <c r="J313" s="423"/>
      <c r="K313" s="423"/>
      <c r="L313" s="423"/>
      <c r="M313" s="423"/>
      <c r="N313" s="423"/>
      <c r="O313" s="423"/>
      <c r="P313" s="423"/>
      <c r="Q313" s="423"/>
    </row>
    <row r="314" spans="1:17">
      <c r="A314" s="436">
        <v>41578</v>
      </c>
      <c r="B314" s="440">
        <v>5.2230119281132387E-2</v>
      </c>
      <c r="C314" s="423"/>
      <c r="D314" s="423"/>
      <c r="E314" s="423"/>
      <c r="F314" s="423"/>
      <c r="G314" s="423"/>
      <c r="H314" s="423"/>
      <c r="I314" s="423"/>
      <c r="J314" s="423"/>
      <c r="K314" s="423"/>
      <c r="L314" s="423"/>
      <c r="M314" s="423"/>
      <c r="N314" s="423"/>
      <c r="O314" s="423"/>
      <c r="P314" s="423"/>
      <c r="Q314" s="423"/>
    </row>
    <row r="315" spans="1:17">
      <c r="A315" s="436">
        <v>41607</v>
      </c>
      <c r="B315" s="440">
        <v>2.1216824194203256E-2</v>
      </c>
      <c r="C315" s="423"/>
      <c r="D315" s="423"/>
      <c r="E315" s="423"/>
      <c r="F315" s="423"/>
      <c r="G315" s="423"/>
      <c r="H315" s="423"/>
      <c r="I315" s="423"/>
      <c r="J315" s="423"/>
      <c r="K315" s="423"/>
      <c r="L315" s="423"/>
      <c r="M315" s="423"/>
      <c r="N315" s="423"/>
      <c r="O315" s="423"/>
      <c r="P315" s="423"/>
      <c r="Q315" s="423"/>
    </row>
    <row r="316" spans="1:17">
      <c r="A316" s="436">
        <v>41638</v>
      </c>
      <c r="B316" s="440">
        <v>1.4496386070982265E-2</v>
      </c>
      <c r="C316" s="423"/>
      <c r="D316" s="423"/>
      <c r="E316" s="423"/>
      <c r="F316" s="423"/>
      <c r="G316" s="423"/>
      <c r="H316" s="423"/>
      <c r="I316" s="423"/>
      <c r="J316" s="423"/>
      <c r="K316" s="423"/>
      <c r="L316" s="423"/>
      <c r="M316" s="423"/>
      <c r="N316" s="423"/>
      <c r="O316" s="423"/>
      <c r="P316" s="423"/>
      <c r="Q316" s="423"/>
    </row>
    <row r="317" spans="1:17">
      <c r="A317" s="436">
        <v>41670</v>
      </c>
      <c r="B317" s="440">
        <v>-2.2588213671424107E-2</v>
      </c>
      <c r="C317" s="423"/>
      <c r="D317" s="423"/>
      <c r="E317" s="423"/>
      <c r="F317" s="423"/>
      <c r="G317" s="423"/>
      <c r="H317" s="423"/>
      <c r="I317" s="423"/>
      <c r="J317" s="423"/>
      <c r="K317" s="423"/>
      <c r="L317" s="423"/>
      <c r="M317" s="423"/>
      <c r="N317" s="423"/>
      <c r="O317" s="423"/>
      <c r="P317" s="423"/>
      <c r="Q317" s="423"/>
    </row>
    <row r="318" spans="1:17">
      <c r="A318" s="436">
        <v>41698</v>
      </c>
      <c r="B318" s="440">
        <v>4.1350013700070298E-2</v>
      </c>
      <c r="C318" s="423"/>
      <c r="D318" s="423"/>
      <c r="E318" s="423"/>
      <c r="F318" s="423"/>
      <c r="G318" s="423"/>
      <c r="H318" s="423"/>
      <c r="I318" s="423"/>
      <c r="J318" s="423"/>
      <c r="K318" s="423"/>
      <c r="L318" s="423"/>
      <c r="M318" s="423"/>
      <c r="N318" s="423"/>
      <c r="O318" s="423"/>
      <c r="P318" s="423"/>
      <c r="Q318" s="423"/>
    </row>
    <row r="319" spans="1:17">
      <c r="A319" s="436">
        <v>41729</v>
      </c>
      <c r="B319" s="440">
        <v>-2.5888897392058026E-2</v>
      </c>
      <c r="C319" s="423"/>
      <c r="D319" s="423"/>
      <c r="E319" s="423"/>
      <c r="F319" s="423"/>
      <c r="G319" s="423"/>
      <c r="H319" s="423"/>
      <c r="I319" s="423"/>
      <c r="J319" s="423"/>
      <c r="K319" s="423"/>
      <c r="L319" s="423"/>
      <c r="M319" s="423"/>
      <c r="N319" s="423"/>
      <c r="O319" s="423"/>
      <c r="P319" s="423"/>
      <c r="Q319" s="423"/>
    </row>
    <row r="320" spans="1:17">
      <c r="A320" s="436">
        <v>41759</v>
      </c>
      <c r="B320" s="440">
        <v>-2.3442083314561716E-2</v>
      </c>
      <c r="C320" s="423"/>
      <c r="D320" s="423"/>
      <c r="E320" s="423"/>
      <c r="F320" s="423"/>
      <c r="G320" s="423"/>
      <c r="H320" s="423"/>
      <c r="I320" s="423"/>
      <c r="J320" s="423"/>
      <c r="K320" s="423"/>
      <c r="L320" s="423"/>
      <c r="M320" s="423"/>
      <c r="N320" s="423"/>
      <c r="O320" s="423"/>
      <c r="P320" s="423"/>
      <c r="Q320" s="423"/>
    </row>
    <row r="321" spans="1:17">
      <c r="A321" s="436">
        <v>41789</v>
      </c>
      <c r="B321" s="440">
        <v>5.2540146068330656E-2</v>
      </c>
      <c r="C321" s="423"/>
      <c r="D321" s="423"/>
      <c r="E321" s="423"/>
      <c r="F321" s="423"/>
      <c r="G321" s="423"/>
      <c r="H321" s="423"/>
      <c r="I321" s="423"/>
      <c r="J321" s="423"/>
      <c r="K321" s="423"/>
      <c r="L321" s="423"/>
      <c r="M321" s="423"/>
      <c r="N321" s="423"/>
      <c r="O321" s="423"/>
      <c r="P321" s="423"/>
      <c r="Q321" s="423"/>
    </row>
    <row r="322" spans="1:17">
      <c r="A322" s="436">
        <v>41820</v>
      </c>
      <c r="B322" s="440">
        <v>-8.1274807984067377E-3</v>
      </c>
      <c r="C322" s="423"/>
      <c r="D322" s="423"/>
      <c r="E322" s="423"/>
      <c r="F322" s="423"/>
      <c r="G322" s="423"/>
      <c r="H322" s="423"/>
      <c r="I322" s="423"/>
      <c r="J322" s="423"/>
      <c r="K322" s="423"/>
      <c r="L322" s="423"/>
      <c r="M322" s="423"/>
      <c r="N322" s="423"/>
      <c r="O322" s="423"/>
      <c r="P322" s="423"/>
      <c r="Q322" s="423"/>
    </row>
    <row r="323" spans="1:17">
      <c r="A323" s="436">
        <v>41851</v>
      </c>
      <c r="B323" s="440">
        <v>-6.298657832327588E-2</v>
      </c>
      <c r="C323" s="423"/>
      <c r="D323" s="423"/>
      <c r="E323" s="423"/>
      <c r="F323" s="423"/>
      <c r="G323" s="423"/>
      <c r="H323" s="423"/>
      <c r="I323" s="423"/>
      <c r="J323" s="423"/>
      <c r="K323" s="423"/>
      <c r="L323" s="423"/>
      <c r="M323" s="423"/>
      <c r="N323" s="423"/>
      <c r="O323" s="423"/>
      <c r="P323" s="423"/>
      <c r="Q323" s="423"/>
    </row>
    <row r="324" spans="1:17">
      <c r="A324" s="436">
        <v>41880</v>
      </c>
      <c r="B324" s="440">
        <v>1.8385930461956822E-2</v>
      </c>
      <c r="C324" s="423"/>
      <c r="D324" s="423"/>
      <c r="E324" s="423"/>
      <c r="F324" s="423"/>
      <c r="G324" s="423"/>
      <c r="H324" s="423"/>
      <c r="I324" s="423"/>
      <c r="J324" s="423"/>
      <c r="K324" s="423"/>
      <c r="L324" s="423"/>
      <c r="M324" s="423"/>
      <c r="N324" s="423"/>
      <c r="O324" s="423"/>
      <c r="P324" s="423"/>
      <c r="Q324" s="423"/>
    </row>
    <row r="325" spans="1:17">
      <c r="A325" s="436">
        <v>41912</v>
      </c>
      <c r="B325" s="440">
        <v>-5.7315171313751219E-3</v>
      </c>
      <c r="C325" s="423"/>
      <c r="D325" s="423"/>
      <c r="E325" s="423"/>
      <c r="F325" s="423"/>
      <c r="G325" s="423"/>
      <c r="H325" s="423"/>
      <c r="I325" s="423"/>
      <c r="J325" s="423"/>
      <c r="K325" s="423"/>
      <c r="L325" s="423"/>
      <c r="M325" s="423"/>
      <c r="N325" s="423"/>
    </row>
  </sheetData>
  <mergeCells count="17">
    <mergeCell ref="I280:L280"/>
    <mergeCell ref="B24:I24"/>
    <mergeCell ref="A20:I20"/>
    <mergeCell ref="B5:I5"/>
    <mergeCell ref="B111:C111"/>
    <mergeCell ref="B184:C184"/>
    <mergeCell ref="E261:F261"/>
    <mergeCell ref="A3:A4"/>
    <mergeCell ref="E37:G37"/>
    <mergeCell ref="B37:D37"/>
    <mergeCell ref="B16:I16"/>
    <mergeCell ref="B15:I15"/>
    <mergeCell ref="B14:I14"/>
    <mergeCell ref="B25:I25"/>
    <mergeCell ref="B21:I21"/>
    <mergeCell ref="B22:I22"/>
    <mergeCell ref="B23:I23"/>
  </mergeCells>
  <pageMargins left="0.7" right="0.7" top="0.75" bottom="0.75" header="0.3" footer="0.3"/>
  <pageSetup paperSize="9" orientation="portrait" r:id="rId1"/>
  <ignoredErrors>
    <ignoredError sqref="I4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252D39"/>
    <pageSetUpPr fitToPage="1"/>
  </sheetPr>
  <dimension ref="A1:R58"/>
  <sheetViews>
    <sheetView showGridLines="0" zoomScale="80" zoomScaleNormal="80" zoomScaleSheetLayoutView="40" zoomScalePageLayoutView="85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F36" sqref="F36"/>
    </sheetView>
  </sheetViews>
  <sheetFormatPr defaultColWidth="9.140625" defaultRowHeight="14.25" outlineLevelRow="1" outlineLevelCol="1"/>
  <cols>
    <col min="1" max="1" width="62" style="77" bestFit="1" customWidth="1"/>
    <col min="2" max="2" width="17.85546875" style="77" customWidth="1"/>
    <col min="3" max="4" width="17.42578125" style="77" bestFit="1" customWidth="1"/>
    <col min="5" max="5" width="17.7109375" style="77" customWidth="1"/>
    <col min="6" max="6" width="19" style="77" bestFit="1" customWidth="1"/>
    <col min="7" max="7" width="17.7109375" style="32" hidden="1" customWidth="1"/>
    <col min="8" max="8" width="1.140625" style="32" customWidth="1"/>
    <col min="9" max="9" width="17.7109375" style="77" customWidth="1"/>
    <col min="10" max="10" width="16.42578125" style="77" bestFit="1" customWidth="1"/>
    <col min="11" max="11" width="16.42578125" style="77" customWidth="1"/>
    <col min="12" max="12" width="16.42578125" style="77" bestFit="1" customWidth="1"/>
    <col min="13" max="13" width="16.42578125" style="77" hidden="1" customWidth="1"/>
    <col min="14" max="14" width="13.42578125" style="32" hidden="1" customWidth="1" outlineLevel="1"/>
    <col min="15" max="15" width="4.42578125" style="32" customWidth="1" collapsed="1"/>
    <col min="16" max="16" width="37" style="77" hidden="1" customWidth="1"/>
    <col min="17" max="17" width="11.5703125" style="77" hidden="1" customWidth="1"/>
    <col min="18" max="16384" width="9.140625" style="77"/>
  </cols>
  <sheetData>
    <row r="1" spans="1:15" ht="15">
      <c r="A1" s="245" t="s">
        <v>166</v>
      </c>
    </row>
    <row r="2" spans="1:15" ht="15.75">
      <c r="A2" s="116" t="s">
        <v>323</v>
      </c>
      <c r="B2" s="134">
        <f>IF(A2='Scenarios '!A1,1,IF(A2='Scenarios '!A25,2,IF(A2='Scenarios '!A49,3,"")))</f>
        <v>3</v>
      </c>
    </row>
    <row r="3" spans="1:15" ht="15">
      <c r="B3" s="205" t="s">
        <v>165</v>
      </c>
      <c r="C3" s="205"/>
      <c r="D3" s="205"/>
      <c r="E3" s="205"/>
      <c r="F3" s="206"/>
      <c r="G3" s="115" t="s">
        <v>163</v>
      </c>
      <c r="H3" s="115"/>
      <c r="I3" s="205" t="s">
        <v>164</v>
      </c>
      <c r="J3" s="205"/>
      <c r="K3" s="205"/>
      <c r="L3" s="205"/>
      <c r="M3" s="115" t="s">
        <v>163</v>
      </c>
      <c r="N3" s="115"/>
      <c r="O3" s="77"/>
    </row>
    <row r="4" spans="1:15" ht="15">
      <c r="A4" s="50" t="s">
        <v>559</v>
      </c>
      <c r="B4" s="246">
        <v>2012</v>
      </c>
      <c r="C4" s="246">
        <v>2013</v>
      </c>
      <c r="D4" s="246">
        <v>2014</v>
      </c>
      <c r="E4" s="246">
        <v>2015</v>
      </c>
      <c r="F4" s="246" t="s">
        <v>179</v>
      </c>
      <c r="G4" s="114" t="s">
        <v>197</v>
      </c>
      <c r="H4" s="114"/>
      <c r="I4" s="246" t="s">
        <v>161</v>
      </c>
      <c r="J4" s="246" t="s">
        <v>160</v>
      </c>
      <c r="K4" s="246" t="s">
        <v>566</v>
      </c>
      <c r="L4" s="246" t="s">
        <v>567</v>
      </c>
      <c r="M4" s="114" t="s">
        <v>198</v>
      </c>
      <c r="N4" s="114"/>
      <c r="O4" s="77"/>
    </row>
    <row r="5" spans="1:15" ht="15">
      <c r="A5" s="192" t="s">
        <v>157</v>
      </c>
      <c r="B5" s="193">
        <f>VLOOKUP($A5,'Income Statement'!$A:$F,2,0)</f>
        <v>18423</v>
      </c>
      <c r="C5" s="193">
        <f>VLOOKUP($A5,'Income Statement'!$A:$F,3,0)</f>
        <v>11073</v>
      </c>
      <c r="D5" s="193">
        <f>VLOOKUP($A5,'Income Statement'!$A:$F,4,0)</f>
        <v>6813</v>
      </c>
      <c r="E5" s="193">
        <f>VLOOKUP($A5,'Income Statement'!$A:$F,5,0)</f>
        <v>3335</v>
      </c>
      <c r="F5" s="193">
        <f>VLOOKUP($A5,'Income Statement'!$A:$F,6,0)</f>
        <v>2601</v>
      </c>
      <c r="G5" s="111">
        <f>((F5/B5)^(1/4))-1</f>
        <v>-0.38702184162308451</v>
      </c>
      <c r="H5" s="111"/>
      <c r="I5" s="193">
        <f>IF($B$2=1,'Scenarios '!H4,IF($B$2=2,'Scenarios '!H28,IF($B$2=3,'Scenarios '!H52,"")))</f>
        <v>2340.9</v>
      </c>
      <c r="J5" s="193">
        <f>IF($B$2=1,'Scenarios '!I4,IF($B$2=2,'Scenarios '!I28,IF($B$2=3,'Scenarios '!I52,"")))</f>
        <v>2106.81</v>
      </c>
      <c r="K5" s="193">
        <f>IF($B$2=1,'Scenarios '!J4,IF($B$2=2,'Scenarios '!J28,IF($B$2=3,'Scenarios '!J52,"")))</f>
        <v>1896.1289999999999</v>
      </c>
      <c r="L5" s="193">
        <f>IF($B$2=1,'Scenarios '!K4,IF($B$2=2,'Scenarios '!K28,IF($B$2=3,'Scenarios '!K52,"")))</f>
        <v>1706.5161000000001</v>
      </c>
      <c r="M5" s="111">
        <f>((L5/I5)^(1/3))-1</f>
        <v>-9.9999999999999978E-2</v>
      </c>
      <c r="N5" s="111"/>
      <c r="O5" s="77"/>
    </row>
    <row r="6" spans="1:15" s="93" customFormat="1">
      <c r="A6" s="93" t="s">
        <v>156</v>
      </c>
      <c r="B6" s="113" t="str">
        <f>IFERROR((B5-#REF!)/#REF!,"")</f>
        <v/>
      </c>
      <c r="C6" s="113">
        <f>IFERROR((C5-B5)/B5,"")</f>
        <v>-0.39895782445855726</v>
      </c>
      <c r="D6" s="113">
        <f>IFERROR((D5-C5)/C5,"")</f>
        <v>-0.38471958818748309</v>
      </c>
      <c r="E6" s="113">
        <f>IFERROR((E5-D5)/D5,"")</f>
        <v>-0.51049464259503885</v>
      </c>
      <c r="F6" s="113">
        <f>IFERROR((F5-E5)/E5,"")</f>
        <v>-0.22008995502248876</v>
      </c>
      <c r="G6" s="57"/>
      <c r="H6" s="57"/>
      <c r="I6" s="113">
        <f>IFERROR((I5-F5)/F5,"")</f>
        <v>-9.9999999999999964E-2</v>
      </c>
      <c r="J6" s="113">
        <f>IFERROR((J5-I5)/I5,"")</f>
        <v>-0.10000000000000006</v>
      </c>
      <c r="K6" s="113">
        <f>IFERROR((K5-J5)/J5,"")</f>
        <v>-0.10000000000000002</v>
      </c>
      <c r="L6" s="113">
        <f>IFERROR((L5-K5)/K5,"")</f>
        <v>-9.9999999999999922E-2</v>
      </c>
      <c r="M6" s="57"/>
      <c r="N6" s="57"/>
    </row>
    <row r="7" spans="1:15" ht="15">
      <c r="A7" s="231" t="s">
        <v>62</v>
      </c>
      <c r="B7" s="239">
        <f>VLOOKUP($A7,'Income Statement'!$A:$F,2,0)</f>
        <v>3020</v>
      </c>
      <c r="C7" s="239">
        <f>VLOOKUP($A7,'Income Statement'!$A:$F,3,0)</f>
        <v>683</v>
      </c>
      <c r="D7" s="239">
        <f>VLOOKUP($A7,'Income Statement'!$A:$F,4,0)</f>
        <v>-5516</v>
      </c>
      <c r="E7" s="239">
        <f>VLOOKUP($A7,'Income Statement'!$A:$F,5,0)</f>
        <v>351</v>
      </c>
      <c r="F7" s="239">
        <f>VLOOKUP($A7,'Income Statement'!$A:$F,6,0)</f>
        <v>86</v>
      </c>
      <c r="G7" s="111">
        <f>((F7/B7)^(1/4))-1</f>
        <v>-0.58920714892633419</v>
      </c>
      <c r="H7" s="111"/>
      <c r="I7" s="239">
        <f>IF($B$2=1,'Scenarios '!H6,IF($B$2=2,'Scenarios '!H30,IF($B$2=3,'Scenarios '!H54,"")))</f>
        <v>77.400000000000006</v>
      </c>
      <c r="J7" s="239">
        <f>IF($B$2=1,'Scenarios '!I6,IF($B$2=2,'Scenarios '!I30,IF($B$2=3,'Scenarios '!I54,"")))</f>
        <v>69.660000000000011</v>
      </c>
      <c r="K7" s="239">
        <f>IF($B$2=1,'Scenarios '!J6,IF($B$2=2,'Scenarios '!J30,IF($B$2=3,'Scenarios '!J54,"")))</f>
        <v>62.69400000000001</v>
      </c>
      <c r="L7" s="239">
        <f>IF($B$2=1,'Scenarios '!K6,IF($B$2=2,'Scenarios '!K30,IF($B$2=3,'Scenarios '!K54,"")))</f>
        <v>56.424600000000012</v>
      </c>
      <c r="M7" s="111">
        <f>((L7/I7)^(1/3))-1</f>
        <v>-9.9999999999999978E-2</v>
      </c>
      <c r="N7" s="111"/>
      <c r="O7" s="77"/>
    </row>
    <row r="8" spans="1:15" s="93" customFormat="1">
      <c r="A8" s="93" t="s">
        <v>154</v>
      </c>
      <c r="B8" s="113">
        <f>B7/B$5</f>
        <v>0.16392552787276773</v>
      </c>
      <c r="C8" s="113">
        <f>C7/C$5</f>
        <v>6.1681567777476742E-2</v>
      </c>
      <c r="D8" s="113">
        <f>D7/D$5</f>
        <v>-0.8096286511081755</v>
      </c>
      <c r="E8" s="113">
        <f>E7/E$5</f>
        <v>0.10524737631184408</v>
      </c>
      <c r="F8" s="113">
        <f>F7/F$5</f>
        <v>3.3064206074586697E-2</v>
      </c>
      <c r="G8" s="57"/>
      <c r="H8" s="57"/>
      <c r="I8" s="113">
        <f>I7/I$5</f>
        <v>3.3064206074586697E-2</v>
      </c>
      <c r="J8" s="113">
        <f>J7/J$5</f>
        <v>3.3064206074586704E-2</v>
      </c>
      <c r="K8" s="113">
        <f>K7/K$5</f>
        <v>3.3064206074586704E-2</v>
      </c>
      <c r="L8" s="113">
        <f>L7/L$5</f>
        <v>3.3064206074586704E-2</v>
      </c>
      <c r="M8" s="57"/>
      <c r="N8" s="57"/>
    </row>
    <row r="9" spans="1:15">
      <c r="A9" s="32" t="s">
        <v>194</v>
      </c>
      <c r="B9" s="350">
        <f>VLOOKUP($A9,'Cash Flow Statement'!$B:$G,2,0)</f>
        <v>1523</v>
      </c>
      <c r="C9" s="350">
        <f>VLOOKUP($A9,'Cash Flow Statement'!$B:$G,3,0)</f>
        <v>1918</v>
      </c>
      <c r="D9" s="350">
        <f>VLOOKUP($A9,'Cash Flow Statement'!$B:$G,4,0)</f>
        <v>1270</v>
      </c>
      <c r="E9" s="350">
        <f>VLOOKUP($A9,'Cash Flow Statement'!$B:$G,5,0)</f>
        <v>694</v>
      </c>
      <c r="F9" s="350">
        <f>VLOOKUP($A9,'Cash Flow Statement'!$B:$G,6,0)</f>
        <v>659</v>
      </c>
      <c r="I9" s="74">
        <f>IF($B$2=1,'Scenarios '!H8,IF($B$2=2,'Scenarios '!H32,IF($B$2=3,'Scenarios '!H56,"")))</f>
        <v>117.04500000000002</v>
      </c>
      <c r="J9" s="74">
        <f>IF($B$2=1,'Scenarios '!I8,IF($B$2=2,'Scenarios '!I32,IF($B$2=3,'Scenarios '!I56,"")))</f>
        <v>105.34050000000001</v>
      </c>
      <c r="K9" s="74">
        <f>IF($B$2=1,'Scenarios '!J8,IF($B$2=2,'Scenarios '!J32,IF($B$2=3,'Scenarios '!J56,"")))</f>
        <v>94.806449999999998</v>
      </c>
      <c r="L9" s="74">
        <f>IF($B$2=1,'Scenarios '!K8,IF($B$2=2,'Scenarios '!K32,IF($B$2=3,'Scenarios '!K56,"")))</f>
        <v>85.325805000000003</v>
      </c>
      <c r="M9" s="32"/>
      <c r="O9" s="77"/>
    </row>
    <row r="10" spans="1:15" ht="15">
      <c r="A10" s="231" t="s">
        <v>61</v>
      </c>
      <c r="B10" s="239">
        <f>VLOOKUP($A10,'Income Statement'!$A:$F,2,0)</f>
        <v>1497</v>
      </c>
      <c r="C10" s="239">
        <f>VLOOKUP($A10,'Income Statement'!$A:$F,3,0)</f>
        <v>-1235</v>
      </c>
      <c r="D10" s="239">
        <f>VLOOKUP($A10,'Income Statement'!$A:$F,4,0)</f>
        <v>-6786</v>
      </c>
      <c r="E10" s="239">
        <f>VLOOKUP($A10,'Income Statement'!$A:$F,5,0)</f>
        <v>-343</v>
      </c>
      <c r="F10" s="239">
        <f>VLOOKUP($A10,'Income Statement'!$A:$F,6,0)</f>
        <v>-573</v>
      </c>
      <c r="G10" s="111" t="e">
        <f>((F10/B10)^(1/4))-1</f>
        <v>#NUM!</v>
      </c>
      <c r="H10" s="111"/>
      <c r="I10" s="239">
        <f>IF($B$2=1,'Scenarios '!H9,IF($B$2=2,'Scenarios '!H33,IF($B$2=3,'Scenarios '!H57,"")))</f>
        <v>-39.64500000000001</v>
      </c>
      <c r="J10" s="239">
        <f>IF($B$2=1,'Scenarios '!I9,IF($B$2=2,'Scenarios '!I33,IF($B$2=3,'Scenarios '!I57,"")))</f>
        <v>-35.680499999999995</v>
      </c>
      <c r="K10" s="239">
        <f>IF($B$2=1,'Scenarios '!J9,IF($B$2=2,'Scenarios '!J33,IF($B$2=3,'Scenarios '!J57,"")))</f>
        <v>-32.112449999999988</v>
      </c>
      <c r="L10" s="239">
        <f>IF($B$2=1,'Scenarios '!K9,IF($B$2=2,'Scenarios '!K33,IF($B$2=3,'Scenarios '!K57,"")))</f>
        <v>-28.90120499999999</v>
      </c>
      <c r="M10" s="111">
        <f>((L10/I10)^(1/3))-1</f>
        <v>-0.1000000000000002</v>
      </c>
      <c r="N10" s="111"/>
      <c r="O10" s="77"/>
    </row>
    <row r="11" spans="1:15" s="93" customFormat="1">
      <c r="A11" s="93" t="s">
        <v>154</v>
      </c>
      <c r="B11" s="113">
        <f>B10/B$5</f>
        <v>8.1257124246865334E-2</v>
      </c>
      <c r="C11" s="113">
        <f>C10/C$5</f>
        <v>-0.11153255666937596</v>
      </c>
      <c r="D11" s="113">
        <f>D10/D$5</f>
        <v>-0.99603698811096431</v>
      </c>
      <c r="E11" s="113">
        <f>E10/E$5</f>
        <v>-0.10284857571214392</v>
      </c>
      <c r="F11" s="113">
        <f>F10/F$5</f>
        <v>-0.22029988465974626</v>
      </c>
      <c r="G11" s="57"/>
      <c r="H11" s="57"/>
      <c r="I11" s="113">
        <f>I10/I$5</f>
        <v>-1.6935793925413306E-2</v>
      </c>
      <c r="J11" s="113">
        <f>J10/J$5</f>
        <v>-1.6935793925413299E-2</v>
      </c>
      <c r="K11" s="113">
        <f>K10/K$5</f>
        <v>-1.6935793925413296E-2</v>
      </c>
      <c r="L11" s="113">
        <f>L10/L$5</f>
        <v>-1.6935793925413296E-2</v>
      </c>
      <c r="M11" s="57"/>
      <c r="N11" s="57"/>
    </row>
    <row r="12" spans="1:15">
      <c r="A12" s="112" t="s">
        <v>153</v>
      </c>
      <c r="B12" s="74">
        <f>B10*B26</f>
        <v>440.26769999999993</v>
      </c>
      <c r="C12" s="74">
        <f t="shared" ref="C12" si="0">C10*C26</f>
        <v>-362.71950000000004</v>
      </c>
      <c r="D12" s="74"/>
      <c r="E12" s="74"/>
      <c r="F12" s="74"/>
      <c r="I12" s="74">
        <f>IF($B$2=1,'Scenarios '!H11,IF($B$2=2,'Scenarios '!H35,IF($B$2=3,'Scenarios '!H59,"")))</f>
        <v>-11.734920000000002</v>
      </c>
      <c r="J12" s="74"/>
      <c r="K12" s="74"/>
      <c r="L12" s="74"/>
      <c r="M12" s="32"/>
      <c r="O12" s="77"/>
    </row>
    <row r="13" spans="1:15" s="90" customFormat="1" ht="15">
      <c r="A13" s="231" t="s">
        <v>152</v>
      </c>
      <c r="B13" s="240">
        <f>'Scenarios '!B12</f>
        <v>1056.7323000000001</v>
      </c>
      <c r="C13" s="240">
        <f>'Scenarios '!C12</f>
        <v>-872.28049999999996</v>
      </c>
      <c r="D13" s="240">
        <f>'Scenarios '!D12</f>
        <v>-6786</v>
      </c>
      <c r="E13" s="240">
        <f>'Scenarios '!E12</f>
        <v>-343</v>
      </c>
      <c r="F13" s="240">
        <f>'Scenarios '!F12</f>
        <v>-573</v>
      </c>
      <c r="G13" s="111" t="e">
        <f>((F13/B13)^(1/4))-1</f>
        <v>#NUM!</v>
      </c>
      <c r="H13" s="111"/>
      <c r="I13" s="240">
        <f>I10-I12</f>
        <v>-27.910080000000008</v>
      </c>
      <c r="J13" s="240">
        <f>J10-J12</f>
        <v>-35.680499999999995</v>
      </c>
      <c r="K13" s="240">
        <f>K10-K12</f>
        <v>-32.112449999999988</v>
      </c>
      <c r="L13" s="240">
        <f>L10-L12</f>
        <v>-28.90120499999999</v>
      </c>
      <c r="M13" s="111">
        <f>((L13/I13)^(1/3))-1</f>
        <v>1.1699704300870417E-2</v>
      </c>
      <c r="N13" s="111"/>
    </row>
    <row r="14" spans="1:15">
      <c r="A14" s="77" t="s">
        <v>151</v>
      </c>
      <c r="B14" s="100">
        <f>B9</f>
        <v>1523</v>
      </c>
      <c r="C14" s="100">
        <f>C9</f>
        <v>1918</v>
      </c>
      <c r="D14" s="100">
        <f>D9</f>
        <v>1270</v>
      </c>
      <c r="E14" s="100">
        <f>E9</f>
        <v>694</v>
      </c>
      <c r="F14" s="100">
        <f>F9</f>
        <v>659</v>
      </c>
      <c r="I14" s="100">
        <f>I9</f>
        <v>117.04500000000002</v>
      </c>
      <c r="J14" s="100">
        <f>J9</f>
        <v>105.34050000000001</v>
      </c>
      <c r="K14" s="100">
        <f>K9</f>
        <v>94.806449999999998</v>
      </c>
      <c r="L14" s="100">
        <f>L9</f>
        <v>85.325805000000003</v>
      </c>
      <c r="M14" s="111"/>
      <c r="O14" s="77"/>
    </row>
    <row r="15" spans="1:15">
      <c r="A15" s="77" t="s">
        <v>150</v>
      </c>
      <c r="B15" s="141">
        <v>396</v>
      </c>
      <c r="C15" s="141">
        <v>671</v>
      </c>
      <c r="D15" s="141">
        <v>929</v>
      </c>
      <c r="E15" s="141">
        <v>562</v>
      </c>
      <c r="F15" s="141">
        <v>567</v>
      </c>
      <c r="G15" s="111">
        <f>((F15/B15)^(1/4))-1</f>
        <v>9.388575858094006E-2</v>
      </c>
      <c r="H15" s="111"/>
      <c r="I15" s="74">
        <f>IF($B$2=1,'Scenarios '!H14,IF($B$2=2,'Scenarios '!H38,IF($B$2=3,'Scenarios '!H62,"")))</f>
        <v>208.33200000000002</v>
      </c>
      <c r="J15" s="74">
        <f>IF($B$2=1,'Scenarios '!I14,IF($B$2=2,'Scenarios '!I38,IF($B$2=3,'Scenarios '!I62,"")))</f>
        <v>187.49879999999999</v>
      </c>
      <c r="K15" s="74">
        <f>IF($B$2=1,'Scenarios '!J14,IF($B$2=2,'Scenarios '!J38,IF($B$2=3,'Scenarios '!J62,"")))</f>
        <v>168.74892</v>
      </c>
      <c r="L15" s="74">
        <f>IF($B$2=1,'Scenarios '!K14,IF($B$2=2,'Scenarios '!K38,IF($B$2=3,'Scenarios '!K62,"")))</f>
        <v>151.87402800000001</v>
      </c>
      <c r="M15" s="111">
        <f>((L15/I15)^(1/3))-1</f>
        <v>-9.9999999999999978E-2</v>
      </c>
      <c r="O15" s="77"/>
    </row>
    <row r="16" spans="1:15">
      <c r="A16" s="112" t="s">
        <v>70</v>
      </c>
      <c r="B16" s="141">
        <f>'Scenarios '!B15</f>
        <v>0</v>
      </c>
      <c r="C16" s="141">
        <f>'Scenarios '!C15</f>
        <v>-195</v>
      </c>
      <c r="D16" s="141">
        <f>'Scenarios '!D15</f>
        <v>-651</v>
      </c>
      <c r="E16" s="141">
        <f>'Scenarios '!E15</f>
        <v>-409</v>
      </c>
      <c r="F16" s="141">
        <f>'Scenarios '!F15</f>
        <v>-230</v>
      </c>
      <c r="I16" s="74">
        <f>IF($B$2=1,'Scenarios '!H15,IF($B$2=2,'Scenarios '!H39,IF($B$2=3,'Scenarios '!H63,"")))</f>
        <v>505.26182873730045</v>
      </c>
      <c r="J16" s="74">
        <f>IF($B$2=1,'Scenarios '!I15,IF($B$2=2,'Scenarios '!I39,IF($B$2=3,'Scenarios '!I63,"")))</f>
        <v>-4.7565457184325624</v>
      </c>
      <c r="K16" s="74">
        <f>IF($B$2=1,'Scenarios '!J15,IF($B$2=2,'Scenarios '!J39,IF($B$2=3,'Scenarios '!J63,"")))</f>
        <v>-4.7565457184325055</v>
      </c>
      <c r="L16" s="74">
        <f>IF($B$2=1,'Scenarios '!K15,IF($B$2=2,'Scenarios '!K39,IF($B$2=3,'Scenarios '!K63,"")))</f>
        <v>-4.7565457184324487</v>
      </c>
      <c r="M16" s="32"/>
      <c r="O16" s="77"/>
    </row>
    <row r="17" spans="1:17">
      <c r="M17" s="32"/>
      <c r="O17" s="77"/>
    </row>
    <row r="18" spans="1:17" ht="15">
      <c r="A18" s="231" t="s">
        <v>149</v>
      </c>
      <c r="B18" s="240">
        <f>'Cash Flow Statement'!C68</f>
        <v>2010</v>
      </c>
      <c r="C18" s="240">
        <f>'Cash Flow Statement'!D68</f>
        <v>1885</v>
      </c>
      <c r="D18" s="240">
        <f>'Cash Flow Statement'!E68</f>
        <v>-442</v>
      </c>
      <c r="E18" s="240">
        <f>'Cash Flow Statement'!F68</f>
        <v>726</v>
      </c>
      <c r="F18" s="240">
        <f>'Cash Flow Statement'!G68</f>
        <v>709</v>
      </c>
      <c r="G18" s="111"/>
      <c r="H18" s="111"/>
      <c r="I18" s="240">
        <f>'Scenarios '!H16</f>
        <v>709</v>
      </c>
      <c r="J18" s="240">
        <f>'Scenarios '!I16</f>
        <v>709</v>
      </c>
      <c r="K18" s="240">
        <f>'Scenarios '!J16</f>
        <v>709</v>
      </c>
      <c r="L18" s="240">
        <f>'Scenarios '!K16</f>
        <v>709</v>
      </c>
      <c r="M18" s="32"/>
      <c r="O18" s="77"/>
    </row>
    <row r="19" spans="1:17" ht="15">
      <c r="A19" s="81" t="s">
        <v>28</v>
      </c>
      <c r="B19" s="549">
        <f>WACC!C15</f>
        <v>7.5732446601253889E-2</v>
      </c>
      <c r="D19" s="100"/>
      <c r="E19" s="100"/>
      <c r="F19" s="100"/>
      <c r="J19" s="32"/>
      <c r="K19" s="32"/>
      <c r="L19" s="32"/>
      <c r="M19" s="32"/>
    </row>
    <row r="20" spans="1:17" hidden="1" outlineLevel="1">
      <c r="A20" s="349" t="s">
        <v>329</v>
      </c>
      <c r="B20" s="255">
        <v>7.5732446601253889E-2</v>
      </c>
      <c r="I20" s="77">
        <v>1</v>
      </c>
      <c r="J20" s="77">
        <v>2</v>
      </c>
      <c r="K20" s="77">
        <v>3</v>
      </c>
      <c r="L20" s="77">
        <v>4</v>
      </c>
      <c r="M20" s="68"/>
      <c r="N20" s="68"/>
      <c r="O20" s="77"/>
    </row>
    <row r="21" spans="1:17" hidden="1" outlineLevel="1">
      <c r="A21" s="349" t="s">
        <v>328</v>
      </c>
      <c r="B21" s="255">
        <v>13.298013424657539</v>
      </c>
      <c r="I21" s="401">
        <f>1/(1+B19)^(I20-0.5)</f>
        <v>0.96415723808846621</v>
      </c>
      <c r="J21" s="401">
        <f>1/(1+B19)^(J20-0.5)</f>
        <v>0.89627977768514244</v>
      </c>
      <c r="K21" s="401">
        <f>1/(1+B19)^(K20-0.5)</f>
        <v>0.83318094617013072</v>
      </c>
      <c r="L21" s="401">
        <f>1/(1+B19)^(L20-0.5)</f>
        <v>0.77452432415006378</v>
      </c>
      <c r="M21" s="32"/>
      <c r="O21" s="77"/>
    </row>
    <row r="22" spans="1:17" ht="15" collapsed="1">
      <c r="A22" s="224" t="s">
        <v>147</v>
      </c>
      <c r="B22" s="221"/>
      <c r="C22" s="221"/>
      <c r="D22" s="221"/>
      <c r="E22" s="221"/>
      <c r="F22" s="221"/>
      <c r="I22" s="221">
        <f>I18*I21</f>
        <v>683.58748180472253</v>
      </c>
      <c r="J22" s="221">
        <f t="shared" ref="J22:K22" si="1">J18*J21</f>
        <v>635.46236237876599</v>
      </c>
      <c r="K22" s="221">
        <f t="shared" si="1"/>
        <v>590.72529083462268</v>
      </c>
      <c r="L22" s="221">
        <f>L18*L21</f>
        <v>549.13774582239523</v>
      </c>
      <c r="M22" s="32"/>
      <c r="O22" s="77"/>
    </row>
    <row r="24" spans="1:17" s="104" customFormat="1" hidden="1" outlineLevel="1">
      <c r="B24" s="107"/>
      <c r="C24" s="108"/>
      <c r="D24" s="108"/>
      <c r="E24" s="107"/>
      <c r="F24" s="107"/>
      <c r="G24" s="32"/>
      <c r="H24" s="32"/>
      <c r="I24" s="77"/>
      <c r="J24" s="77"/>
      <c r="K24" s="77"/>
      <c r="L24" s="77"/>
      <c r="M24" s="77"/>
      <c r="N24" s="32"/>
      <c r="O24" s="105"/>
    </row>
    <row r="25" spans="1:17" s="104" customFormat="1" ht="12" hidden="1" outlineLevel="1">
      <c r="B25" s="109"/>
      <c r="C25" s="110"/>
      <c r="D25" s="110"/>
      <c r="E25" s="109"/>
      <c r="F25" s="109"/>
      <c r="G25" s="105"/>
      <c r="H25" s="105"/>
      <c r="N25" s="105"/>
      <c r="O25" s="105"/>
    </row>
    <row r="26" spans="1:17" s="104" customFormat="1" ht="12" hidden="1" outlineLevel="1">
      <c r="A26" s="104" t="s">
        <v>193</v>
      </c>
      <c r="B26" s="109">
        <v>0.29409999999999997</v>
      </c>
      <c r="C26" s="110">
        <v>0.29370000000000002</v>
      </c>
      <c r="D26" s="110">
        <v>0.29480000000000001</v>
      </c>
      <c r="E26" s="109">
        <v>0.29549999999999998</v>
      </c>
      <c r="F26" s="109">
        <v>0.29580000000000001</v>
      </c>
      <c r="G26" s="105"/>
      <c r="H26" s="105"/>
      <c r="I26" s="109">
        <v>0.40600000000000003</v>
      </c>
      <c r="J26" s="109">
        <v>0.40600000000000003</v>
      </c>
      <c r="K26" s="109">
        <v>0.40600000000000003</v>
      </c>
      <c r="L26" s="109">
        <v>0.40600000000000003</v>
      </c>
      <c r="M26" s="109">
        <v>0.40600000000000003</v>
      </c>
      <c r="N26" s="105"/>
      <c r="O26" s="105"/>
    </row>
    <row r="27" spans="1:17" s="104" customFormat="1" ht="12" hidden="1" outlineLevel="1">
      <c r="B27" s="107"/>
      <c r="C27" s="108"/>
      <c r="D27" s="108"/>
      <c r="E27" s="107"/>
      <c r="F27" s="106"/>
      <c r="G27" s="105"/>
      <c r="H27" s="105"/>
      <c r="I27" s="109"/>
      <c r="J27" s="109"/>
      <c r="K27" s="109"/>
      <c r="L27" s="109"/>
      <c r="M27" s="109"/>
      <c r="N27" s="105"/>
      <c r="O27" s="105"/>
    </row>
    <row r="28" spans="1:17" ht="30" collapsed="1">
      <c r="A28" s="206" t="s">
        <v>130</v>
      </c>
      <c r="B28" s="206"/>
      <c r="D28" s="586" t="s">
        <v>319</v>
      </c>
      <c r="E28" s="586"/>
      <c r="F28" s="586"/>
      <c r="G28" s="105"/>
      <c r="H28" s="105"/>
      <c r="I28" s="586" t="s">
        <v>132</v>
      </c>
      <c r="J28" s="586"/>
      <c r="K28" s="586"/>
      <c r="L28" s="586"/>
      <c r="M28" s="104"/>
      <c r="N28" s="105"/>
      <c r="P28" s="603" t="s">
        <v>493</v>
      </c>
      <c r="Q28" s="206"/>
    </row>
    <row r="29" spans="1:17">
      <c r="A29" s="77" t="s">
        <v>145</v>
      </c>
      <c r="B29" s="100">
        <f>SUM(I22:L22)</f>
        <v>2458.9128808405062</v>
      </c>
      <c r="D29" s="91" t="s">
        <v>130</v>
      </c>
      <c r="E29" s="91"/>
      <c r="F29" s="99">
        <f>B39</f>
        <v>2568.1684437916006</v>
      </c>
      <c r="I29" s="91" t="s">
        <v>146</v>
      </c>
      <c r="J29" s="91"/>
      <c r="K29" s="91"/>
      <c r="L29" s="74">
        <f>L18</f>
        <v>709</v>
      </c>
      <c r="N29" s="77">
        <v>162.5366245716499</v>
      </c>
      <c r="P29" s="77" t="s">
        <v>145</v>
      </c>
      <c r="Q29" s="100">
        <f>SUM(I22:L22)</f>
        <v>2458.9128808405062</v>
      </c>
    </row>
    <row r="30" spans="1:17">
      <c r="D30" s="102" t="s">
        <v>144</v>
      </c>
      <c r="F30" s="99">
        <f>'Balance Sheet'!G45+'Balance Sheet'!G56</f>
        <v>2285</v>
      </c>
      <c r="I30" s="91" t="s">
        <v>28</v>
      </c>
      <c r="J30" s="91"/>
      <c r="K30" s="91"/>
      <c r="L30" s="103">
        <f>B19</f>
        <v>7.5732446601253889E-2</v>
      </c>
      <c r="N30" s="103">
        <v>7.3253128456189504E-2</v>
      </c>
    </row>
    <row r="31" spans="1:17" ht="15">
      <c r="A31" s="101" t="s">
        <v>143</v>
      </c>
      <c r="B31" s="54"/>
      <c r="D31" s="91" t="s">
        <v>142</v>
      </c>
      <c r="E31" s="91"/>
      <c r="F31" s="99">
        <v>0</v>
      </c>
      <c r="I31" s="91" t="s">
        <v>143</v>
      </c>
      <c r="J31" s="91"/>
      <c r="K31" s="91"/>
      <c r="L31" s="74">
        <f>B34</f>
        <v>141.06150000000002</v>
      </c>
      <c r="N31" s="77">
        <v>15073.490875065336</v>
      </c>
      <c r="P31" s="101" t="s">
        <v>143</v>
      </c>
      <c r="Q31" s="54"/>
    </row>
    <row r="32" spans="1:17">
      <c r="A32" s="77" t="s">
        <v>587</v>
      </c>
      <c r="B32" s="100">
        <f>L7</f>
        <v>56.424600000000012</v>
      </c>
      <c r="D32" s="91" t="s">
        <v>141</v>
      </c>
      <c r="E32" s="91"/>
      <c r="F32" s="99">
        <f>'Balance Sheet'!G69</f>
        <v>0</v>
      </c>
      <c r="I32" s="91"/>
      <c r="J32" s="91"/>
      <c r="K32" s="91"/>
      <c r="L32" s="32"/>
      <c r="N32" s="77"/>
      <c r="P32" s="77" t="s">
        <v>494</v>
      </c>
      <c r="Q32" s="100">
        <f>L22</f>
        <v>549.13774582239523</v>
      </c>
    </row>
    <row r="33" spans="1:18" ht="15">
      <c r="A33" s="77" t="s">
        <v>131</v>
      </c>
      <c r="B33" s="98">
        <v>2.5</v>
      </c>
      <c r="D33" s="77" t="s">
        <v>140</v>
      </c>
      <c r="F33" s="99">
        <f>'Balance Sheet'!G6</f>
        <v>1447</v>
      </c>
      <c r="I33" s="96" t="s">
        <v>132</v>
      </c>
      <c r="J33" s="96"/>
      <c r="K33" s="96"/>
      <c r="L33" s="207">
        <f>((L31*L30)-(L29))/(L31+L29)</f>
        <v>-0.82149005393581198</v>
      </c>
      <c r="N33" s="77"/>
      <c r="P33" s="77" t="s">
        <v>495</v>
      </c>
      <c r="Q33" s="60">
        <f>L33</f>
        <v>-0.82149005393581198</v>
      </c>
    </row>
    <row r="34" spans="1:18" ht="15">
      <c r="A34" s="90" t="s">
        <v>139</v>
      </c>
      <c r="B34" s="95">
        <f>B32*B33</f>
        <v>141.06150000000002</v>
      </c>
      <c r="L34" s="256"/>
      <c r="N34" s="77">
        <v>6.1803756839185743E-2</v>
      </c>
      <c r="P34" s="90" t="s">
        <v>139</v>
      </c>
      <c r="Q34" s="95">
        <f>Q32*(1+Q33)/(B19-Q33)</f>
        <v>109.25556295109421</v>
      </c>
    </row>
    <row r="35" spans="1:18" ht="15">
      <c r="A35" s="77" t="s">
        <v>138</v>
      </c>
      <c r="B35" s="97">
        <f>1/((1+B19)^(4-0.5))</f>
        <v>0.77452432415006378</v>
      </c>
      <c r="D35" s="96" t="s">
        <v>137</v>
      </c>
      <c r="E35" s="96"/>
      <c r="F35" s="343">
        <f>F29-F30-F31-F32+F33+1166</f>
        <v>2896.1684437916006</v>
      </c>
      <c r="I35" s="586" t="s">
        <v>133</v>
      </c>
      <c r="J35" s="586"/>
      <c r="K35" s="586"/>
      <c r="L35" s="586"/>
      <c r="P35" s="77" t="s">
        <v>138</v>
      </c>
      <c r="Q35" s="97">
        <f>1/((1+B19)^(4-0.5))</f>
        <v>0.77452432415006378</v>
      </c>
    </row>
    <row r="36" spans="1:18" ht="15">
      <c r="A36" s="90" t="s">
        <v>135</v>
      </c>
      <c r="B36" s="95">
        <f>B34*B35</f>
        <v>109.25556295109423</v>
      </c>
      <c r="D36" s="90" t="s">
        <v>320</v>
      </c>
      <c r="F36" s="344">
        <f>F35/524.111</f>
        <v>5.525868458764652</v>
      </c>
      <c r="I36" s="91" t="s">
        <v>136</v>
      </c>
      <c r="J36" s="91"/>
      <c r="K36" s="91"/>
      <c r="L36" s="94">
        <f>B39</f>
        <v>2568.1684437916006</v>
      </c>
      <c r="P36" s="90" t="s">
        <v>135</v>
      </c>
      <c r="Q36" s="95">
        <f>Q34*Q35</f>
        <v>84.621091054330989</v>
      </c>
    </row>
    <row r="37" spans="1:18">
      <c r="A37" s="93" t="s">
        <v>134</v>
      </c>
      <c r="B37" s="92">
        <f>B36/B39</f>
        <v>4.2542210661926504E-2</v>
      </c>
      <c r="I37" s="91" t="s">
        <v>318</v>
      </c>
      <c r="J37" s="91"/>
      <c r="K37" s="91"/>
      <c r="L37" s="94">
        <f>F7</f>
        <v>86</v>
      </c>
      <c r="P37" s="93" t="s">
        <v>134</v>
      </c>
      <c r="Q37" s="92">
        <f>Q36/Q39</f>
        <v>3.3269101961823401E-2</v>
      </c>
    </row>
    <row r="38" spans="1:18">
      <c r="I38" s="91"/>
      <c r="J38" s="91"/>
      <c r="K38" s="91"/>
      <c r="L38" s="32"/>
    </row>
    <row r="39" spans="1:18" ht="15">
      <c r="A39" s="90" t="s">
        <v>130</v>
      </c>
      <c r="B39" s="209">
        <f>B29+B36</f>
        <v>2568.1684437916006</v>
      </c>
      <c r="I39" s="91" t="s">
        <v>133</v>
      </c>
      <c r="J39" s="91"/>
      <c r="K39" s="91"/>
      <c r="L39" s="208">
        <f>L36/L37</f>
        <v>29.862423765018612</v>
      </c>
      <c r="P39" s="90" t="s">
        <v>130</v>
      </c>
      <c r="Q39" s="209">
        <f>Q29+Q36</f>
        <v>2543.5339718948371</v>
      </c>
    </row>
    <row r="40" spans="1:18" hidden="1" outlineLevel="1">
      <c r="B40" s="146">
        <f>I18/(1+B19)^(1-0.5)+J18/(1+B20)^(2-0.5)+K18/(1+B20)^(3-0.5)+L18/(1+B20)^(4-0.5)+(L7*B33)/(1+B20)^(4)</f>
        <v>2564.2524226612336</v>
      </c>
    </row>
    <row r="41" spans="1:18" collapsed="1">
      <c r="C41" s="32"/>
      <c r="I41" s="32"/>
      <c r="N41" s="77"/>
      <c r="O41" s="77"/>
    </row>
    <row r="42" spans="1:18" ht="15">
      <c r="A42" s="586" t="s">
        <v>130</v>
      </c>
      <c r="B42" s="586"/>
      <c r="C42" s="586"/>
      <c r="D42" s="586"/>
      <c r="E42" s="586"/>
      <c r="F42" s="586"/>
      <c r="I42" s="32"/>
      <c r="N42" s="77"/>
      <c r="O42" s="77"/>
    </row>
    <row r="43" spans="1:18" ht="30">
      <c r="B43" s="587" t="s">
        <v>131</v>
      </c>
      <c r="C43" s="587"/>
      <c r="D43" s="587"/>
      <c r="E43" s="587"/>
      <c r="F43" s="587"/>
      <c r="I43" s="97"/>
      <c r="J43" s="97"/>
      <c r="K43" s="97"/>
      <c r="L43" s="97"/>
      <c r="N43" s="77"/>
      <c r="O43" s="77"/>
      <c r="P43" s="603" t="s">
        <v>319</v>
      </c>
      <c r="Q43" s="206"/>
      <c r="R43" s="530"/>
    </row>
    <row r="44" spans="1:18" ht="15">
      <c r="A44" s="514" t="s">
        <v>28</v>
      </c>
      <c r="B44" s="133">
        <f>C44-0.5</f>
        <v>1.5</v>
      </c>
      <c r="C44" s="133">
        <f>D44-0.5</f>
        <v>2</v>
      </c>
      <c r="D44" s="133">
        <f>B33</f>
        <v>2.5</v>
      </c>
      <c r="E44" s="133">
        <f>D44+0.5</f>
        <v>3</v>
      </c>
      <c r="F44" s="133">
        <f>E44+0.5</f>
        <v>3.5</v>
      </c>
      <c r="I44" s="32"/>
      <c r="N44" s="77"/>
      <c r="O44" s="77"/>
      <c r="P44" s="91" t="s">
        <v>130</v>
      </c>
      <c r="Q44" s="99">
        <f>Q39</f>
        <v>2543.5339718948371</v>
      </c>
    </row>
    <row r="45" spans="1:18">
      <c r="A45" s="89">
        <f>A46-0.005</f>
        <v>6.573244660125388E-2</v>
      </c>
      <c r="B45" s="499">
        <f>$I$18/(1+$A45)^($I$20-0.5)+$J$18/(1+$A45)^($J$20-0.5)+$K$18/(1+$A45)^($K$20-0.5)+$L$18/(1+$A45)^($L$20-0.5)+$B$32*B$44*1/(1+$A45)^($L$20-0.5)</f>
        <v>2571.0108794772082</v>
      </c>
      <c r="C45" s="499">
        <f>$I$18/(1+$A45)^($I$20-0.5)+$J$18/(1+$A45)^($J$20-0.5)+$K$18/(1+$A45)^($K$20-0.5)+$L$18/(1+$A45)^($L$20-0.5)+$B$32*C$44*1/(1+$A45)^($L$20-0.5)</f>
        <v>2593.5880667065558</v>
      </c>
      <c r="D45" s="499">
        <f>$I$18/(1+$A45)^($I$20-0.5)+$J$18/(1+$A45)^($J$20-0.5)+$K$18/(1+$A45)^($K$20-0.5)+$L$18/(1+$A45)^($L$20-0.5)+$B$32*D$44*1/(1+$A45)^($L$20-0.5)</f>
        <v>2616.1652539359038</v>
      </c>
      <c r="E45" s="499">
        <f>$I$18/(1+$A45)^($I$20-0.5)+$J$18/(1+$A45)^($J$20-0.5)+$K$18/(1+$A45)^($K$20-0.5)+$L$18/(1+$A45)^($L$20-0.5)+$B$32*E$44*1/(1+$A45)^($L$20-0.5)</f>
        <v>2638.7424411652514</v>
      </c>
      <c r="F45" s="499">
        <f>$I$18/(1+$A45)^($I$20-0.5)+$J$18/(1+$A45)^($J$20-0.5)+$K$18/(1+$A45)^($K$20-0.5)+$L$18/(1+$A45)^($L$20-0.5)+$B$32*F$44*1/(1+$A45)^($L$20-0.5)</f>
        <v>2661.319628394599</v>
      </c>
      <c r="I45" s="32"/>
      <c r="N45" s="77"/>
      <c r="O45" s="77"/>
      <c r="P45" s="102" t="s">
        <v>144</v>
      </c>
      <c r="Q45" s="99">
        <f>F30</f>
        <v>2285</v>
      </c>
    </row>
    <row r="46" spans="1:18" ht="15">
      <c r="A46" s="89">
        <f>A47-0.005</f>
        <v>7.0732446601253884E-2</v>
      </c>
      <c r="B46" s="499">
        <f>$I$18/(1+$A46)^($I$20-0.5)+$J$18/(1+$A46)^($J$20-0.5)+$K$18/(1+$A46)^($K$20-0.5)+$L$18/(1+$A46)^($L$20-0.5)+$B$32*B$44*1/(1+$A46)^($L$20-0.5)</f>
        <v>2547.5424633730672</v>
      </c>
      <c r="C46" s="511">
        <f>$I$18/(1+$A46)^($I$20-0.5)+$J$18/(1+$A46)^($J$20-0.5)+$K$18/(1+$A46)^($K$20-0.5)+$L$18/(1+$A46)^($L$20-0.5)+$B$32*C$44*1/(1+$A46)^($L$20-0.5)</f>
        <v>2569.7527990080403</v>
      </c>
      <c r="D46" s="511">
        <f>$I$18/(1+$A46)^($I$20-0.5)+$J$18/(1+$A46)^($J$20-0.5)+$K$18/(1+$A46)^($K$20-0.5)+$L$18/(1+$A46)^($L$20-0.5)+$B$32*D$44*1/(1+$A46)^($L$20-0.5)</f>
        <v>2591.9631346430137</v>
      </c>
      <c r="E46" s="511">
        <f>$I$18/(1+$A46)^($I$20-0.5)+$J$18/(1+$A46)^($J$20-0.5)+$K$18/(1+$A46)^($K$20-0.5)+$L$18/(1+$A46)^($L$20-0.5)+$B$32*E$44*1/(1+$A46)^($L$20-0.5)</f>
        <v>2614.1734702779872</v>
      </c>
      <c r="F46" s="499">
        <f>$I$18/(1+$A46)^($I$20-0.5)+$J$18/(1+$A46)^($J$20-0.5)+$K$18/(1+$A46)^($K$20-0.5)+$L$18/(1+$A46)^($L$20-0.5)+$B$32*F$44*1/(1+$A46)^($L$20-0.5)</f>
        <v>2636.3838059129603</v>
      </c>
      <c r="I46" s="32"/>
      <c r="N46" s="77"/>
      <c r="O46" s="77"/>
      <c r="P46" s="91" t="s">
        <v>142</v>
      </c>
      <c r="Q46" s="99">
        <f>F31</f>
        <v>0</v>
      </c>
    </row>
    <row r="47" spans="1:18" ht="15">
      <c r="A47" s="89">
        <f>$B$19</f>
        <v>7.5732446601253889E-2</v>
      </c>
      <c r="B47" s="499">
        <f>$I$18/(1+$A47)^($I$20-0.5)+$J$18/(1+$A47)^($J$20-0.5)+$K$18/(1+$A47)^($K$20-0.5)+$L$18/(1+$A47)^($L$20-0.5)+$B$32*B$44*1/(1+$A47)^($L$20-0.5)</f>
        <v>2524.4662186111627</v>
      </c>
      <c r="C47" s="511">
        <f>$I$18/(1+$A47)^($I$20-0.5)+$J$18/(1+$A47)^($J$20-0.5)+$K$18/(1+$A47)^($K$20-0.5)+$L$18/(1+$A47)^($L$20-0.5)+$B$32*C$44*1/(1+$A47)^($L$20-0.5)</f>
        <v>2546.3173312013814</v>
      </c>
      <c r="D47" s="512">
        <f>$I$18/(1+$A47)^($I$20-0.5)+$J$18/(1+$A47)^($J$20-0.5)+$K$18/(1+$A47)^($K$20-0.5)+$L$18/(1+$A47)^($L$20-0.5)+$B$32*D$44*1/(1+$A47)^($L$20-0.5)</f>
        <v>2568.1684437916006</v>
      </c>
      <c r="E47" s="511">
        <f>$I$18/(1+$A47)^($I$20-0.5)+$J$18/(1+$A47)^($J$20-0.5)+$K$18/(1+$A47)^($K$20-0.5)+$L$18/(1+$A47)^($L$20-0.5)+$B$32*E$44*1/(1+$A47)^($L$20-0.5)</f>
        <v>2590.0195563818193</v>
      </c>
      <c r="F47" s="499">
        <f>$I$18/(1+$A47)^($I$20-0.5)+$J$18/(1+$A47)^($J$20-0.5)+$K$18/(1+$A47)^($K$20-0.5)+$L$18/(1+$A47)^($L$20-0.5)+$B$32*F$44*1/(1+$A47)^($L$20-0.5)</f>
        <v>2611.8706689720379</v>
      </c>
      <c r="I47" s="32"/>
      <c r="N47" s="77"/>
      <c r="O47" s="77"/>
      <c r="P47" s="91" t="s">
        <v>141</v>
      </c>
      <c r="Q47" s="99">
        <f>F32</f>
        <v>0</v>
      </c>
    </row>
    <row r="48" spans="1:18" ht="15">
      <c r="A48" s="89">
        <f>A47+0.005</f>
        <v>8.0732446601253893E-2</v>
      </c>
      <c r="B48" s="499">
        <f>$I$18/(1+$A48)^($I$20-0.5)+$J$18/(1+$A48)^($J$20-0.5)+$K$18/(1+$A48)^($K$20-0.5)+$L$18/(1+$A48)^($L$20-0.5)+$B$32*B$44*1/(1+$A48)^($L$20-0.5)</f>
        <v>2501.77337408017</v>
      </c>
      <c r="C48" s="511">
        <f>$I$18/(1+$A48)^($I$20-0.5)+$J$18/(1+$A48)^($J$20-0.5)+$K$18/(1+$A48)^($K$20-0.5)+$L$18/(1+$A48)^($L$20-0.5)+$B$32*C$44*1/(1+$A48)^($L$20-0.5)</f>
        <v>2523.2726991831528</v>
      </c>
      <c r="D48" s="511">
        <f>$I$18/(1+$A48)^($I$20-0.5)+$J$18/(1+$A48)^($J$20-0.5)+$K$18/(1+$A48)^($K$20-0.5)+$L$18/(1+$A48)^($L$20-0.5)+$B$32*D$44*1/(1+$A48)^($L$20-0.5)</f>
        <v>2544.7720242861355</v>
      </c>
      <c r="E48" s="511">
        <f>$I$18/(1+$A48)^($I$20-0.5)+$J$18/(1+$A48)^($J$20-0.5)+$K$18/(1+$A48)^($K$20-0.5)+$L$18/(1+$A48)^($L$20-0.5)+$B$32*E$44*1/(1+$A48)^($L$20-0.5)</f>
        <v>2566.2713493891188</v>
      </c>
      <c r="F48" s="499">
        <f>$I$18/(1+$A48)^($I$20-0.5)+$J$18/(1+$A48)^($J$20-0.5)+$K$18/(1+$A48)^($K$20-0.5)+$L$18/(1+$A48)^($L$20-0.5)+$B$32*F$44*1/(1+$A48)^($L$20-0.5)</f>
        <v>2587.7706744921015</v>
      </c>
      <c r="N48" s="77"/>
      <c r="O48" s="77"/>
      <c r="P48" s="77" t="s">
        <v>140</v>
      </c>
      <c r="Q48" s="99">
        <f>F33</f>
        <v>1447</v>
      </c>
    </row>
    <row r="49" spans="1:17">
      <c r="A49" s="89">
        <f>A48+0.005</f>
        <v>8.5732446601253898E-2</v>
      </c>
      <c r="B49" s="499">
        <f>$I$18/(1+$A49)^($I$20-0.5)+$J$18/(1+$A49)^($J$20-0.5)+$K$18/(1+$A49)^($K$20-0.5)+$L$18/(1+$A49)^($L$20-0.5)+$B$32*B$44*1/(1+$A49)^($L$20-0.5)</f>
        <v>2479.4553995762767</v>
      </c>
      <c r="C49" s="499">
        <f>$I$18/(1+$A49)^($I$20-0.5)+$J$18/(1+$A49)^($J$20-0.5)+$K$18/(1+$A49)^($K$20-0.5)+$L$18/(1+$A49)^($L$20-0.5)+$B$32*C$44*1/(1+$A49)^($L$20-0.5)</f>
        <v>2500.6101855011543</v>
      </c>
      <c r="D49" s="499">
        <f>$I$18/(1+$A49)^($I$20-0.5)+$J$18/(1+$A49)^($J$20-0.5)+$K$18/(1+$A49)^($K$20-0.5)+$L$18/(1+$A49)^($L$20-0.5)+$B$32*D$44*1/(1+$A49)^($L$20-0.5)</f>
        <v>2521.7649714260324</v>
      </c>
      <c r="E49" s="499">
        <f>$I$18/(1+$A49)^($I$20-0.5)+$J$18/(1+$A49)^($J$20-0.5)+$K$18/(1+$A49)^($K$20-0.5)+$L$18/(1+$A49)^($L$20-0.5)+$B$32*E$44*1/(1+$A49)^($L$20-0.5)</f>
        <v>2542.91975735091</v>
      </c>
      <c r="F49" s="499">
        <f>$I$18/(1+$A49)^($I$20-0.5)+$J$18/(1+$A49)^($J$20-0.5)+$K$18/(1+$A49)^($K$20-0.5)+$L$18/(1+$A49)^($L$20-0.5)+$B$32*F$44*1/(1+$A49)^($L$20-0.5)</f>
        <v>2564.0745432757876</v>
      </c>
      <c r="I49" s="32"/>
      <c r="N49" s="77"/>
      <c r="O49" s="77"/>
    </row>
    <row r="50" spans="1:17" ht="15">
      <c r="I50" s="32"/>
      <c r="N50" s="77"/>
      <c r="O50" s="77"/>
      <c r="P50" s="96" t="s">
        <v>137</v>
      </c>
      <c r="Q50" s="343">
        <f>Q44-Q45-Q46-Q47+Q48</f>
        <v>1705.5339718948371</v>
      </c>
    </row>
    <row r="51" spans="1:17" ht="15">
      <c r="A51" s="586" t="s">
        <v>130</v>
      </c>
      <c r="B51" s="586"/>
      <c r="C51" s="586"/>
      <c r="D51" s="586"/>
      <c r="E51" s="586"/>
      <c r="F51" s="586"/>
      <c r="I51" s="32"/>
      <c r="N51" s="77"/>
      <c r="O51" s="77"/>
      <c r="P51" s="90" t="s">
        <v>320</v>
      </c>
      <c r="Q51" s="344">
        <f>Q50/147.04</f>
        <v>11.599115695693943</v>
      </c>
    </row>
    <row r="52" spans="1:17" ht="15">
      <c r="B52" s="587" t="s">
        <v>129</v>
      </c>
      <c r="C52" s="587"/>
      <c r="D52" s="587"/>
      <c r="E52" s="587"/>
      <c r="F52" s="587"/>
      <c r="I52" s="32"/>
      <c r="N52" s="77"/>
      <c r="O52" s="77"/>
    </row>
    <row r="53" spans="1:17" ht="15">
      <c r="A53" s="257" t="s">
        <v>28</v>
      </c>
      <c r="B53" s="123">
        <f>C53-0.005</f>
        <v>-0.83149005393581199</v>
      </c>
      <c r="C53" s="123">
        <f>D53-0.005</f>
        <v>-0.82649005393581199</v>
      </c>
      <c r="D53" s="123">
        <f>L33</f>
        <v>-0.82149005393581198</v>
      </c>
      <c r="E53" s="123">
        <f>D53+0.005</f>
        <v>-0.81649005393581198</v>
      </c>
      <c r="F53" s="123">
        <f>E53+0.005</f>
        <v>-0.81149005393581197</v>
      </c>
      <c r="I53" s="32"/>
      <c r="N53" s="77"/>
      <c r="O53" s="77"/>
    </row>
    <row r="54" spans="1:17">
      <c r="A54" s="89">
        <f>A55-0.005</f>
        <v>6.573244660125388E-2</v>
      </c>
      <c r="B54" s="513">
        <f>(($L$29*(1+B$53))/($A54-B$53))/((1+$A54)^(4-0.5))+($I$18/(1+$A54)^(1-0.5)+($J$18/(1+$A54)^(2-0.5))+($K$18/(1+$A54)^(3-0.5))+($L$18/(1+$A54)^(4-0.5)))</f>
        <v>2609.8414642179823</v>
      </c>
      <c r="C54" s="513">
        <f>(($L$29*(1+C$53))/($A54-C$53))/((1+$A54)^(4-0.5))+($I$18/(1+$A54)^(1-0.5)+($J$18/(1+$A54)^(2-0.5))+($K$18/(1+$A54)^(3-0.5))+($L$18/(1+$A54)^(4-0.5)))</f>
        <v>2613.6182507728022</v>
      </c>
      <c r="D54" s="513">
        <f>(($L$29*(1+D$53))/($A54-D$53))/((1+$A54)^(4-0.5))+($I$18/(1+$A54)^(1-0.5)+($J$18/(1+$A54)^(2-0.5))+($K$18/(1+$A54)^(3-0.5))+($L$18/(1+$A54)^(4-0.5)))</f>
        <v>2617.4376059792571</v>
      </c>
      <c r="E54" s="513">
        <f>(($L$29*(1+E$53))/($A54-E$53))/((1+$A54)^(4-0.5))+($I$18/(1+$A54)^(1-0.5)+($J$18/(1+$A54)^(2-0.5))+($K$18/(1+$A54)^(3-0.5))+($L$18/(1+$A54)^(4-0.5)))</f>
        <v>2621.3002536114222</v>
      </c>
      <c r="F54" s="513">
        <f>(($L$29*(1+F$53))/($A54-F$53))/((1+$A54)^(4-0.5))+($I$18/(1+$A54)^(1-0.5)+($J$18/(1+$A54)^(2-0.5))+($K$18/(1+$A54)^(3-0.5))+($L$18/(1+$A54)^(4-0.5)))</f>
        <v>2625.2069339448667</v>
      </c>
      <c r="I54" s="32"/>
      <c r="N54" s="77"/>
      <c r="O54" s="77"/>
    </row>
    <row r="55" spans="1:17" ht="15">
      <c r="A55" s="89">
        <f>A56-0.005</f>
        <v>7.0732446601253884E-2</v>
      </c>
      <c r="B55" s="513">
        <f>(($L$29*(1+B$53))/($A55-B$53))/((1+$A55)^(4-0.5))+($I$18/(1+$A55)^(1-0.5)+($J$18/(1+$A55)^(2-0.5))+($K$18/(1+$A55)^(3-0.5))+($L$18/(1+$A55)^(4-0.5)))</f>
        <v>2585.1611409361403</v>
      </c>
      <c r="C55" s="511">
        <f>(($L$29*(1+C$53))/($A55-C$53))/((1+$A55)^(4-0.5))+($I$18/(1+$A55)^(1-0.5)+($J$18/(1+$A55)^(2-0.5))+($K$18/(1+$A55)^(3-0.5))+($L$18/(1+$A55)^(4-0.5)))</f>
        <v>2588.8526166964411</v>
      </c>
      <c r="D55" s="511">
        <f>(($L$29*(1+D$53))/($A55-D$53))/((1+$A55)^(4-0.5))+($I$18/(1+$A55)^(1-0.5)+($J$18/(1+$A55)^(2-0.5))+($K$18/(1+$A55)^(3-0.5))+($L$18/(1+$A55)^(4-0.5)))</f>
        <v>2592.5854663938271</v>
      </c>
      <c r="E55" s="511">
        <f>(($L$29*(1+E$53))/($A55-E$53))/((1+$A55)^(4-0.5))+($I$18/(1+$A55)^(1-0.5)+($J$18/(1+$A55)^(2-0.5))+($K$18/(1+$A55)^(3-0.5))+($L$18/(1+$A55)^(4-0.5)))</f>
        <v>2596.3603895248229</v>
      </c>
      <c r="F55" s="513">
        <f>(($L$29*(1+F$53))/($A55-F$53))/((1+$A55)^(4-0.5))+($I$18/(1+$A55)^(1-0.5)+($J$18/(1+$A55)^(2-0.5))+($K$18/(1+$A55)^(3-0.5))+($L$18/(1+$A55)^(4-0.5)))</f>
        <v>2600.1781014435537</v>
      </c>
      <c r="I55" s="32"/>
      <c r="N55" s="77"/>
      <c r="O55" s="77"/>
    </row>
    <row r="56" spans="1:17" ht="15">
      <c r="A56" s="89">
        <f>$B$19</f>
        <v>7.5732446601253889E-2</v>
      </c>
      <c r="B56" s="513">
        <f>(($L$29*(1+B$53))/($A56-B$53))/((1+$A56)^(4-0.5))+($I$18/(1+$A56)^(1-0.5)+($J$18/(1+$A56)^(2-0.5))+($K$18/(1+$A56)^(3-0.5))+($L$18/(1+$A56)^(4-0.5)))</f>
        <v>2560.9112019530908</v>
      </c>
      <c r="C56" s="511">
        <f>(($L$29*(1+C$53))/($A56-C$53))/((1+$A56)^(4-0.5))+($I$18/(1+$A56)^(1-0.5)+($J$18/(1+$A56)^(2-0.5))+($K$18/(1+$A56)^(3-0.5))+($L$18/(1+$A56)^(4-0.5)))</f>
        <v>2564.5197135261637</v>
      </c>
      <c r="D56" s="512">
        <f>(($L$29*(1+D$53))/($A56-D$53))/((1+$A56)^(4-0.5))+($I$18/(1+$A56)^(1-0.5)+($J$18/(1+$A56)^(2-0.5))+($K$18/(1+$A56)^(3-0.5))+($L$18/(1+$A56)^(4-0.5)))</f>
        <v>2568.1684437916006</v>
      </c>
      <c r="E56" s="511">
        <f>(($L$29*(1+E$53))/($A56-E$53))/((1+$A56)^(4-0.5))+($I$18/(1+$A56)^(1-0.5)+($J$18/(1+$A56)^(2-0.5))+($K$18/(1+$A56)^(3-0.5))+($L$18/(1+$A56)^(4-0.5)))</f>
        <v>2571.8580689040427</v>
      </c>
      <c r="F56" s="513">
        <f>(($L$29*(1+F$53))/($A56-F$53))/((1+$A56)^(4-0.5))+($I$18/(1+$A56)^(1-0.5)+($J$18/(1+$A56)^(2-0.5))+($K$18/(1+$A56)^(3-0.5))+($L$18/(1+$A56)^(4-0.5)))</f>
        <v>2575.5892802601857</v>
      </c>
    </row>
    <row r="57" spans="1:17" ht="15">
      <c r="A57" s="89">
        <f>A56+0.005</f>
        <v>8.0732446601253893E-2</v>
      </c>
      <c r="B57" s="513">
        <f>(($L$29*(1+B$53))/($A57-B$53))/((1+$A57)^(4-0.5))+($I$18/(1+$A57)^(1-0.5)+($J$18/(1+$A57)^(2-0.5))+($K$18/(1+$A57)^(3-0.5))+($L$18/(1+$A57)^(4-0.5)))</f>
        <v>2537.0815545418618</v>
      </c>
      <c r="C57" s="511">
        <f>(($L$29*(1+C$53))/($A57-C$53))/((1+$A57)^(4-0.5))+($I$18/(1+$A57)^(1-0.5)+($J$18/(1+$A57)^(2-0.5))+($K$18/(1+$A57)^(3-0.5))+($L$18/(1+$A57)^(4-0.5)))</f>
        <v>2540.6093725311748</v>
      </c>
      <c r="D57" s="511">
        <f>(($L$29*(1+D$53))/($A57-D$53))/((1+$A57)^(4-0.5))+($I$18/(1+$A57)^(1-0.5)+($J$18/(1+$A57)^(2-0.5))+($K$18/(1+$A57)^(3-0.5))+($L$18/(1+$A57)^(4-0.5)))</f>
        <v>2544.1762919393423</v>
      </c>
      <c r="E57" s="511">
        <f>(($L$29*(1+E$53))/($A57-E$53))/((1+$A57)^(4-0.5))+($I$18/(1+$A57)^(1-0.5)+($J$18/(1+$A57)^(2-0.5))+($K$18/(1+$A57)^(3-0.5))+($L$18/(1+$A57)^(4-0.5)))</f>
        <v>2547.7829664740925</v>
      </c>
      <c r="F57" s="513">
        <f>(($L$29*(1+F$53))/($A57-F$53))/((1+$A57)^(4-0.5))+($I$18/(1+$A57)^(1-0.5)+($J$18/(1+$A57)^(2-0.5))+($K$18/(1+$A57)^(3-0.5))+($L$18/(1+$A57)^(4-0.5)))</f>
        <v>2551.4300644966224</v>
      </c>
    </row>
    <row r="58" spans="1:17">
      <c r="A58" s="89">
        <f>A57+0.005</f>
        <v>8.5732446601253898E-2</v>
      </c>
      <c r="B58" s="513">
        <f>(($L$29*(1+B$53))/($A58-B$53))/((1+$A58)^(4-0.5))+($I$18/(1+$A58)^(1-0.5)+($J$18/(1+$A58)^(2-0.5))+($K$18/(1+$A58)^(3-0.5))+($L$18/(1+$A58)^(4-0.5)))</f>
        <v>2513.6623976128326</v>
      </c>
      <c r="C58" s="513">
        <f>(($L$29*(1+C$53))/($A58-C$53))/((1+$A58)^(4-0.5))+($I$18/(1+$A58)^(1-0.5)+($J$18/(1+$A58)^(2-0.5))+($K$18/(1+$A58)^(3-0.5))+($L$18/(1+$A58)^(4-0.5)))</f>
        <v>2517.1117194480471</v>
      </c>
      <c r="D58" s="513">
        <f>(($L$29*(1+D$53))/($A58-D$53))/((1+$A58)^(4-0.5))+($I$18/(1+$A58)^(1-0.5)+($J$18/(1+$A58)^(2-0.5))+($K$18/(1+$A58)^(3-0.5))+($L$18/(1+$A58)^(4-0.5)))</f>
        <v>2520.599061965434</v>
      </c>
      <c r="E58" s="513">
        <f>(($L$29*(1+E$53))/($A58-E$53))/((1+$A58)^(4-0.5))+($I$18/(1+$A58)^(1-0.5)+($J$18/(1+$A58)^(2-0.5))+($K$18/(1+$A58)^(3-0.5))+($L$18/(1+$A58)^(4-0.5)))</f>
        <v>2524.12505728205</v>
      </c>
      <c r="F58" s="513">
        <f>(($L$29*(1+F$53))/($A58-F$53))/((1+$A58)^(4-0.5))+($I$18/(1+$A58)^(1-0.5)+($J$18/(1+$A58)^(2-0.5))+($K$18/(1+$A58)^(3-0.5))+($L$18/(1+$A58)^(4-0.5)))</f>
        <v>2527.6903516054849</v>
      </c>
    </row>
  </sheetData>
  <mergeCells count="7">
    <mergeCell ref="D28:F28"/>
    <mergeCell ref="I28:L28"/>
    <mergeCell ref="I35:L35"/>
    <mergeCell ref="A51:F51"/>
    <mergeCell ref="B52:F52"/>
    <mergeCell ref="A42:F42"/>
    <mergeCell ref="B43:F4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3" verticalDpi="4294967293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Dropdown!$A$2:$A$4</xm:f>
          </x14:formula1>
          <xm:sqref>A2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249977111117893"/>
    <pageSetUpPr fitToPage="1"/>
  </sheetPr>
  <dimension ref="A1:AA71"/>
  <sheetViews>
    <sheetView showGridLines="0" tabSelected="1" zoomScale="90" zoomScaleNormal="90" zoomScalePageLayoutView="90" workbookViewId="0">
      <selection activeCell="C23" sqref="C23"/>
    </sheetView>
  </sheetViews>
  <sheetFormatPr defaultColWidth="9.140625" defaultRowHeight="14.25"/>
  <cols>
    <col min="1" max="1" width="34.85546875" style="77" bestFit="1" customWidth="1"/>
    <col min="2" max="2" width="14.7109375" style="77" customWidth="1"/>
    <col min="3" max="5" width="14.7109375" style="77" bestFit="1" customWidth="1"/>
    <col min="6" max="6" width="15.42578125" style="77" bestFit="1" customWidth="1"/>
    <col min="7" max="7" width="15.42578125" style="77" customWidth="1"/>
    <col min="8" max="8" width="21.7109375" style="32" bestFit="1" customWidth="1"/>
    <col min="9" max="10" width="16.42578125" style="77" bestFit="1" customWidth="1"/>
    <col min="11" max="11" width="16.42578125" style="77" customWidth="1"/>
    <col min="12" max="13" width="16.42578125" style="77" bestFit="1" customWidth="1"/>
    <col min="14" max="14" width="21.85546875" style="32" bestFit="1" customWidth="1"/>
    <col min="15" max="15" width="2.7109375" style="32" customWidth="1"/>
    <col min="16" max="16" width="21.85546875" style="77" bestFit="1" customWidth="1"/>
    <col min="17" max="17" width="9.42578125" style="77" customWidth="1"/>
    <col min="18" max="18" width="9.42578125" style="77" bestFit="1" customWidth="1"/>
    <col min="19" max="19" width="9.7109375" style="77" customWidth="1"/>
    <col min="20" max="22" width="9.140625" style="77" customWidth="1"/>
    <col min="23" max="16384" width="9.140625" style="77"/>
  </cols>
  <sheetData>
    <row r="1" spans="1:27" ht="30" customHeight="1">
      <c r="A1" s="588" t="s">
        <v>321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P1" s="588" t="s">
        <v>172</v>
      </c>
      <c r="Q1" s="588"/>
      <c r="R1" s="588"/>
      <c r="S1" s="588"/>
      <c r="T1" s="588"/>
      <c r="U1" s="588"/>
      <c r="V1" s="345"/>
    </row>
    <row r="2" spans="1:27" ht="15">
      <c r="B2" s="205" t="s">
        <v>165</v>
      </c>
      <c r="C2" s="205"/>
      <c r="D2" s="205"/>
      <c r="E2" s="205"/>
      <c r="F2" s="191"/>
      <c r="G2" s="115" t="s">
        <v>163</v>
      </c>
      <c r="H2" s="205" t="s">
        <v>164</v>
      </c>
      <c r="I2" s="205"/>
      <c r="J2" s="205"/>
      <c r="K2" s="205"/>
      <c r="L2" s="115" t="s">
        <v>163</v>
      </c>
      <c r="M2" s="115"/>
      <c r="N2" s="77"/>
      <c r="O2" s="77"/>
    </row>
    <row r="3" spans="1:27" ht="15">
      <c r="A3" s="50" t="s">
        <v>559</v>
      </c>
      <c r="B3" s="122">
        <v>2010</v>
      </c>
      <c r="C3" s="122">
        <v>2011</v>
      </c>
      <c r="D3" s="122">
        <v>2012</v>
      </c>
      <c r="E3" s="122">
        <v>2013</v>
      </c>
      <c r="F3" s="131" t="str">
        <f>'DCF Analysis '!F4</f>
        <v>LTM</v>
      </c>
      <c r="G3" s="114" t="s">
        <v>197</v>
      </c>
      <c r="H3" s="122" t="s">
        <v>162</v>
      </c>
      <c r="I3" s="122" t="s">
        <v>161</v>
      </c>
      <c r="J3" s="122" t="s">
        <v>160</v>
      </c>
      <c r="K3" s="122" t="s">
        <v>159</v>
      </c>
      <c r="L3" s="114" t="s">
        <v>158</v>
      </c>
      <c r="M3" s="114"/>
      <c r="P3" s="120"/>
      <c r="Q3" s="120"/>
      <c r="R3" s="119" t="s">
        <v>162</v>
      </c>
      <c r="S3" s="115" t="s">
        <v>161</v>
      </c>
      <c r="T3" s="115" t="s">
        <v>160</v>
      </c>
      <c r="U3" s="119" t="s">
        <v>159</v>
      </c>
    </row>
    <row r="4" spans="1:27" ht="15">
      <c r="A4" s="192" t="s">
        <v>157</v>
      </c>
      <c r="B4" s="193">
        <f>'DCF Analysis '!B$5</f>
        <v>18423</v>
      </c>
      <c r="C4" s="193">
        <f>'DCF Analysis '!C$5</f>
        <v>11073</v>
      </c>
      <c r="D4" s="193">
        <f>'DCF Analysis '!D$5</f>
        <v>6813</v>
      </c>
      <c r="E4" s="193">
        <f>'DCF Analysis '!E$5</f>
        <v>3335</v>
      </c>
      <c r="F4" s="193">
        <f>'DCF Analysis '!F$5</f>
        <v>2601</v>
      </c>
      <c r="G4" s="111">
        <f>((F4/B4)^(1/4))-1</f>
        <v>-0.38702184162308451</v>
      </c>
      <c r="H4" s="193">
        <f>F4*(1+R4)</f>
        <v>2601</v>
      </c>
      <c r="I4" s="193">
        <f>H4*(1+S4)</f>
        <v>2601</v>
      </c>
      <c r="J4" s="193">
        <f>I4*(1+T4)</f>
        <v>2601</v>
      </c>
      <c r="K4" s="193">
        <f>J4*(1+U4)</f>
        <v>2601</v>
      </c>
      <c r="L4" s="111">
        <f>((K4/H4)^(1/3))-1</f>
        <v>0</v>
      </c>
      <c r="M4" s="111"/>
      <c r="P4" s="117" t="s">
        <v>171</v>
      </c>
      <c r="Q4" s="80"/>
      <c r="R4" s="241">
        <v>0</v>
      </c>
      <c r="S4" s="242">
        <v>0</v>
      </c>
      <c r="T4" s="242">
        <v>0</v>
      </c>
      <c r="U4" s="241">
        <v>0</v>
      </c>
    </row>
    <row r="5" spans="1:27" s="93" customFormat="1">
      <c r="A5" s="93" t="s">
        <v>156</v>
      </c>
      <c r="B5" s="113" t="str">
        <f>IFERROR((B4-#REF!)/#REF!,"")</f>
        <v/>
      </c>
      <c r="C5" s="113">
        <f>IFERROR((C4-B4)/B4,"")</f>
        <v>-0.39895782445855726</v>
      </c>
      <c r="D5" s="113">
        <f>IFERROR((D4-C4)/C4,"")</f>
        <v>-0.38471958818748309</v>
      </c>
      <c r="E5" s="113">
        <f>IFERROR((E4-D4)/D4,"")</f>
        <v>-0.51049464259503885</v>
      </c>
      <c r="F5" s="113">
        <f>IFERROR((F4-E4)/E4,"")</f>
        <v>-0.22008995502248876</v>
      </c>
      <c r="G5" s="57"/>
      <c r="H5" s="113">
        <f>IFERROR((H4-F4)/F4,"")</f>
        <v>0</v>
      </c>
      <c r="I5" s="113">
        <f>IFERROR((I4-H4)/H4,"")</f>
        <v>0</v>
      </c>
      <c r="J5" s="113">
        <f>IFERROR((J4-I4)/I4,"")</f>
        <v>0</v>
      </c>
      <c r="K5" s="113">
        <f>IFERROR((K4-J4)/J4,"")</f>
        <v>0</v>
      </c>
      <c r="L5" s="57"/>
      <c r="M5" s="57"/>
      <c r="R5" s="77"/>
      <c r="S5" s="32"/>
      <c r="T5" s="32"/>
      <c r="U5" s="77"/>
      <c r="X5" s="77"/>
      <c r="Y5" s="77"/>
      <c r="Z5" s="77"/>
      <c r="AA5" s="77"/>
    </row>
    <row r="6" spans="1:27" ht="15">
      <c r="A6" s="231" t="s">
        <v>62</v>
      </c>
      <c r="B6" s="239">
        <f>'DCF Analysis '!B$7</f>
        <v>3020</v>
      </c>
      <c r="C6" s="239">
        <f>'DCF Analysis '!C$7</f>
        <v>683</v>
      </c>
      <c r="D6" s="239">
        <f>'DCF Analysis '!D$7</f>
        <v>-5516</v>
      </c>
      <c r="E6" s="239">
        <f>'DCF Analysis '!E$7</f>
        <v>351</v>
      </c>
      <c r="F6" s="239">
        <f>'DCF Analysis '!F$7</f>
        <v>86</v>
      </c>
      <c r="G6" s="111">
        <f>((F6/B6)^(1/4))-1</f>
        <v>-0.58920714892633419</v>
      </c>
      <c r="H6" s="239">
        <f>F6*(1+R6)</f>
        <v>86</v>
      </c>
      <c r="I6" s="239">
        <f>H6*(1+R6)</f>
        <v>86</v>
      </c>
      <c r="J6" s="239">
        <f>I6*(1+S6)</f>
        <v>86</v>
      </c>
      <c r="K6" s="239">
        <f>J6*(1+T6)</f>
        <v>86</v>
      </c>
      <c r="L6" s="111">
        <f>((K6/H6)^(1/3))-1</f>
        <v>0</v>
      </c>
      <c r="M6" s="111"/>
      <c r="P6" s="117" t="s">
        <v>170</v>
      </c>
      <c r="R6" s="241">
        <v>0</v>
      </c>
      <c r="S6" s="241">
        <v>0</v>
      </c>
      <c r="T6" s="241">
        <v>0</v>
      </c>
      <c r="U6" s="241">
        <v>0</v>
      </c>
    </row>
    <row r="7" spans="1:27" s="93" customFormat="1">
      <c r="A7" s="93" t="s">
        <v>154</v>
      </c>
      <c r="B7" s="113">
        <f>B6/B$4</f>
        <v>0.16392552787276773</v>
      </c>
      <c r="C7" s="113">
        <f>C6/C$4</f>
        <v>6.1681567777476742E-2</v>
      </c>
      <c r="D7" s="113">
        <f>D6/D$4</f>
        <v>-0.8096286511081755</v>
      </c>
      <c r="E7" s="113">
        <f>E6/E$4</f>
        <v>0.10524737631184408</v>
      </c>
      <c r="F7" s="113">
        <f>F6/F$4</f>
        <v>3.3064206074586697E-2</v>
      </c>
      <c r="G7" s="57"/>
      <c r="H7" s="113">
        <f>H6/H4</f>
        <v>3.3064206074586697E-2</v>
      </c>
      <c r="I7" s="113">
        <f>I6/I4</f>
        <v>3.3064206074586697E-2</v>
      </c>
      <c r="J7" s="113">
        <f>J6/J4</f>
        <v>3.3064206074586697E-2</v>
      </c>
      <c r="K7" s="113">
        <f>K6/K4</f>
        <v>3.3064206074586697E-2</v>
      </c>
      <c r="L7" s="57"/>
      <c r="M7" s="111"/>
      <c r="R7" s="77"/>
      <c r="S7" s="32"/>
      <c r="T7" s="32"/>
      <c r="U7" s="77"/>
    </row>
    <row r="8" spans="1:27">
      <c r="A8" s="32" t="s">
        <v>155</v>
      </c>
      <c r="B8" s="74">
        <f>'DCF Analysis '!B$9</f>
        <v>1523</v>
      </c>
      <c r="C8" s="74">
        <f>'DCF Analysis '!C$9</f>
        <v>1918</v>
      </c>
      <c r="D8" s="74">
        <f>'DCF Analysis '!D$9</f>
        <v>1270</v>
      </c>
      <c r="E8" s="74">
        <f>'DCF Analysis '!E$9</f>
        <v>694</v>
      </c>
      <c r="F8" s="74">
        <f>'DCF Analysis '!F$9</f>
        <v>659</v>
      </c>
      <c r="G8" s="32"/>
      <c r="H8" s="87">
        <f>H4*$R$8</f>
        <v>130.05000000000001</v>
      </c>
      <c r="I8" s="87">
        <f>I4*S8</f>
        <v>130.05000000000001</v>
      </c>
      <c r="J8" s="87">
        <f>J4*T8</f>
        <v>130.05000000000001</v>
      </c>
      <c r="K8" s="87">
        <f>K4*U8</f>
        <v>130.05000000000001</v>
      </c>
      <c r="L8" s="32"/>
      <c r="M8" s="32"/>
      <c r="P8" s="117" t="s">
        <v>169</v>
      </c>
      <c r="R8" s="241">
        <v>0.05</v>
      </c>
      <c r="S8" s="242">
        <v>0.05</v>
      </c>
      <c r="T8" s="241">
        <v>0.05</v>
      </c>
      <c r="U8" s="241">
        <v>0.05</v>
      </c>
    </row>
    <row r="9" spans="1:27" ht="15">
      <c r="A9" s="231" t="s">
        <v>61</v>
      </c>
      <c r="B9" s="239">
        <f>'DCF Analysis '!B$10</f>
        <v>1497</v>
      </c>
      <c r="C9" s="239">
        <f>'DCF Analysis '!C$10</f>
        <v>-1235</v>
      </c>
      <c r="D9" s="239">
        <f>'DCF Analysis '!D$10</f>
        <v>-6786</v>
      </c>
      <c r="E9" s="239">
        <f>'DCF Analysis '!E$10</f>
        <v>-343</v>
      </c>
      <c r="F9" s="239">
        <f>'DCF Analysis '!F$10</f>
        <v>-573</v>
      </c>
      <c r="G9" s="111" t="e">
        <f>((F9/B9)^(1/4))-1</f>
        <v>#NUM!</v>
      </c>
      <c r="H9" s="239">
        <f>H6-$H8</f>
        <v>-44.050000000000011</v>
      </c>
      <c r="I9" s="239">
        <f>I6-I8</f>
        <v>-44.050000000000011</v>
      </c>
      <c r="J9" s="239">
        <f>J6-J8</f>
        <v>-44.050000000000011</v>
      </c>
      <c r="K9" s="239">
        <f>K6-K8</f>
        <v>-44.050000000000011</v>
      </c>
      <c r="L9" s="111">
        <f>((K9/H9)^(1/3))-1</f>
        <v>0</v>
      </c>
      <c r="M9" s="111"/>
      <c r="S9" s="32"/>
      <c r="T9" s="32"/>
      <c r="U9" s="77" t="s">
        <v>586</v>
      </c>
    </row>
    <row r="10" spans="1:27" s="93" customFormat="1">
      <c r="A10" s="93" t="s">
        <v>154</v>
      </c>
      <c r="B10" s="113">
        <f>B9/B$4</f>
        <v>8.1257124246865334E-2</v>
      </c>
      <c r="C10" s="113">
        <f>C9/C$4</f>
        <v>-0.11153255666937596</v>
      </c>
      <c r="D10" s="113">
        <f>D9/D$4</f>
        <v>-0.99603698811096431</v>
      </c>
      <c r="E10" s="113">
        <f>E9/E$4</f>
        <v>-0.10284857571214392</v>
      </c>
      <c r="F10" s="113">
        <f>F9/F$4</f>
        <v>-0.22029988465974626</v>
      </c>
      <c r="G10" s="57"/>
      <c r="H10" s="113">
        <f>H9/H$4</f>
        <v>-1.6935793925413306E-2</v>
      </c>
      <c r="I10" s="113">
        <f>I9/I$4</f>
        <v>-1.6935793925413306E-2</v>
      </c>
      <c r="J10" s="113">
        <f>J9/J$4</f>
        <v>-1.6935793925413306E-2</v>
      </c>
      <c r="K10" s="113">
        <f>K9/K$4</f>
        <v>-1.6935793925413306E-2</v>
      </c>
      <c r="L10" s="57"/>
      <c r="M10" s="57"/>
      <c r="R10" s="77"/>
      <c r="S10" s="32"/>
      <c r="T10" s="32"/>
      <c r="U10" s="77"/>
    </row>
    <row r="11" spans="1:27">
      <c r="A11" s="112" t="s">
        <v>153</v>
      </c>
      <c r="B11" s="74">
        <f>'DCF Analysis '!B$12</f>
        <v>440.26769999999993</v>
      </c>
      <c r="C11" s="74">
        <f>'DCF Analysis '!C$12</f>
        <v>-362.71950000000004</v>
      </c>
      <c r="D11" s="74">
        <f>'DCF Analysis '!D$12</f>
        <v>0</v>
      </c>
      <c r="E11" s="74">
        <f>'DCF Analysis '!E$12</f>
        <v>0</v>
      </c>
      <c r="F11" s="74">
        <f>'DCF Analysis '!F$12</f>
        <v>0</v>
      </c>
      <c r="G11" s="32"/>
      <c r="H11" s="87">
        <f>H9*R11</f>
        <v>-13.038800000000002</v>
      </c>
      <c r="I11" s="87">
        <f>I9*S11</f>
        <v>-13.038800000000002</v>
      </c>
      <c r="J11" s="87">
        <f>J9*T11</f>
        <v>-13.038800000000002</v>
      </c>
      <c r="K11" s="87">
        <f>K9*U11</f>
        <v>-13.038800000000002</v>
      </c>
      <c r="L11" s="32"/>
      <c r="M11" s="32"/>
      <c r="P11" s="83" t="s">
        <v>168</v>
      </c>
      <c r="R11" s="243">
        <v>0.29599999999999999</v>
      </c>
      <c r="S11" s="244">
        <v>0.29599999999999999</v>
      </c>
      <c r="T11" s="244">
        <v>0.29599999999999999</v>
      </c>
      <c r="U11" s="243">
        <v>0.29599999999999999</v>
      </c>
    </row>
    <row r="12" spans="1:27" s="90" customFormat="1" ht="15">
      <c r="A12" s="231" t="s">
        <v>152</v>
      </c>
      <c r="B12" s="240">
        <f>B9-B11</f>
        <v>1056.7323000000001</v>
      </c>
      <c r="C12" s="240">
        <f>C9-C11</f>
        <v>-872.28049999999996</v>
      </c>
      <c r="D12" s="240">
        <f>D9-D11</f>
        <v>-6786</v>
      </c>
      <c r="E12" s="240">
        <f>E9-E11</f>
        <v>-343</v>
      </c>
      <c r="F12" s="240">
        <f>F9-F11</f>
        <v>-573</v>
      </c>
      <c r="G12" s="111" t="e">
        <f>((F12/B12)^(1/4))-1</f>
        <v>#NUM!</v>
      </c>
      <c r="H12" s="240">
        <f>H9-$H11</f>
        <v>-31.011200000000009</v>
      </c>
      <c r="I12" s="240">
        <f>I9-I11</f>
        <v>-31.011200000000009</v>
      </c>
      <c r="J12" s="240">
        <f>J9-J11</f>
        <v>-31.011200000000009</v>
      </c>
      <c r="K12" s="240">
        <f>K9-K11</f>
        <v>-31.011200000000009</v>
      </c>
      <c r="L12" s="111">
        <f>((K12/H12)^(1/3))-1</f>
        <v>0</v>
      </c>
      <c r="M12" s="111"/>
      <c r="S12" s="61"/>
      <c r="T12" s="61"/>
    </row>
    <row r="13" spans="1:27">
      <c r="A13" s="77" t="s">
        <v>151</v>
      </c>
      <c r="B13" s="100">
        <f>B8</f>
        <v>1523</v>
      </c>
      <c r="C13" s="100">
        <f>C8</f>
        <v>1918</v>
      </c>
      <c r="D13" s="100">
        <f>D8</f>
        <v>1270</v>
      </c>
      <c r="E13" s="100">
        <f>E8</f>
        <v>694</v>
      </c>
      <c r="F13" s="100">
        <f>F8</f>
        <v>659</v>
      </c>
      <c r="G13" s="32"/>
      <c r="H13" s="100">
        <f>H8</f>
        <v>130.05000000000001</v>
      </c>
      <c r="I13" s="100">
        <f>I8</f>
        <v>130.05000000000001</v>
      </c>
      <c r="J13" s="100">
        <f>J8</f>
        <v>130.05000000000001</v>
      </c>
      <c r="K13" s="100">
        <f>K8</f>
        <v>130.05000000000001</v>
      </c>
      <c r="L13" s="32"/>
      <c r="M13" s="32"/>
      <c r="S13" s="32"/>
      <c r="T13" s="32"/>
    </row>
    <row r="14" spans="1:27">
      <c r="A14" s="77" t="s">
        <v>150</v>
      </c>
      <c r="B14" s="100">
        <f>'DCF Analysis '!B$15</f>
        <v>396</v>
      </c>
      <c r="C14" s="100">
        <f>'DCF Analysis '!C$15</f>
        <v>671</v>
      </c>
      <c r="D14" s="100">
        <f>'DCF Analysis '!D$15</f>
        <v>929</v>
      </c>
      <c r="E14" s="100">
        <f>'DCF Analysis '!E$15</f>
        <v>562</v>
      </c>
      <c r="F14" s="74">
        <f>'DCF Analysis '!F$15</f>
        <v>567</v>
      </c>
      <c r="G14" s="32"/>
      <c r="H14" s="118">
        <f>H4*R14</f>
        <v>283.5</v>
      </c>
      <c r="I14" s="118">
        <f>I4*S14</f>
        <v>283.5</v>
      </c>
      <c r="J14" s="118">
        <f>J4*T14</f>
        <v>283.5</v>
      </c>
      <c r="K14" s="118">
        <f>K4*U14</f>
        <v>283.5</v>
      </c>
      <c r="L14" s="32"/>
      <c r="M14" s="32"/>
      <c r="P14" s="117" t="s">
        <v>167</v>
      </c>
      <c r="R14" s="241">
        <f>$F$14/$F$4/2</f>
        <v>0.10899653979238755</v>
      </c>
      <c r="S14" s="241">
        <f>$F$14/$F$4/2</f>
        <v>0.10899653979238755</v>
      </c>
      <c r="T14" s="241">
        <f>$F$14/$F$4/2</f>
        <v>0.10899653979238755</v>
      </c>
      <c r="U14" s="241">
        <f>$F$14/$F$4/2</f>
        <v>0.10899653979238755</v>
      </c>
    </row>
    <row r="15" spans="1:27">
      <c r="A15" s="112" t="s">
        <v>70</v>
      </c>
      <c r="B15" s="100">
        <f>'Change in NWC'!C$22</f>
        <v>0</v>
      </c>
      <c r="C15" s="100">
        <f>'Change in NWC'!D$22</f>
        <v>-195</v>
      </c>
      <c r="D15" s="100">
        <f>'Change in NWC'!E$22</f>
        <v>-651</v>
      </c>
      <c r="E15" s="100">
        <f>'Change in NWC'!F$22</f>
        <v>-409</v>
      </c>
      <c r="F15" s="100">
        <f>'Change in NWC'!G$22</f>
        <v>-230</v>
      </c>
      <c r="G15" s="32"/>
      <c r="H15" s="118">
        <f>'Change in NWC'!I$22</f>
        <v>505.26182873730045</v>
      </c>
      <c r="I15" s="118">
        <f>'Change in NWC'!J$22</f>
        <v>-4.7565457184325624</v>
      </c>
      <c r="J15" s="118">
        <f>'Change in NWC'!K$22</f>
        <v>-4.7565457184325055</v>
      </c>
      <c r="K15" s="118">
        <f>'Change in NWC'!L$22</f>
        <v>-4.7565457184324487</v>
      </c>
      <c r="L15" s="32"/>
      <c r="M15" s="32"/>
      <c r="P15" s="32"/>
      <c r="Q15" s="32"/>
      <c r="R15" s="32"/>
      <c r="S15" s="32"/>
      <c r="T15" s="32"/>
    </row>
    <row r="16" spans="1:27" ht="15">
      <c r="A16" s="231" t="s">
        <v>149</v>
      </c>
      <c r="B16" s="240">
        <f>'Cash Flow Statement'!C68</f>
        <v>2010</v>
      </c>
      <c r="C16" s="240">
        <f>'Cash Flow Statement'!D68</f>
        <v>1885</v>
      </c>
      <c r="D16" s="240">
        <f>'Cash Flow Statement'!E68</f>
        <v>-442</v>
      </c>
      <c r="E16" s="240">
        <f>'Cash Flow Statement'!F68</f>
        <v>726</v>
      </c>
      <c r="F16" s="240">
        <f>'Cash Flow Statement'!G68</f>
        <v>709</v>
      </c>
      <c r="G16" s="254"/>
      <c r="H16" s="240">
        <f>F16*(1+R4)</f>
        <v>709</v>
      </c>
      <c r="I16" s="240">
        <f>H16*(1+S4)</f>
        <v>709</v>
      </c>
      <c r="J16" s="240">
        <f>I16*(1+T4)</f>
        <v>709</v>
      </c>
      <c r="K16" s="240">
        <f>J16*(1+U4)</f>
        <v>709</v>
      </c>
      <c r="L16" s="32"/>
      <c r="M16" s="32"/>
      <c r="N16" s="77"/>
      <c r="O16" s="77"/>
    </row>
    <row r="17" spans="1:21">
      <c r="A17" s="77" t="s">
        <v>28</v>
      </c>
      <c r="C17" s="117">
        <f>'DCF Analysis '!$B$19</f>
        <v>7.5732446601253889E-2</v>
      </c>
      <c r="D17" s="100"/>
      <c r="E17" s="100"/>
      <c r="F17" s="100"/>
      <c r="G17" s="100"/>
      <c r="I17" s="32"/>
      <c r="J17" s="32"/>
      <c r="K17" s="32"/>
      <c r="L17" s="32"/>
      <c r="M17" s="32"/>
      <c r="O17" s="77"/>
    </row>
    <row r="18" spans="1:21">
      <c r="A18" s="77" t="s">
        <v>148</v>
      </c>
      <c r="H18" s="32">
        <v>1</v>
      </c>
      <c r="I18" s="77">
        <v>2</v>
      </c>
      <c r="J18" s="77">
        <v>3</v>
      </c>
      <c r="K18" s="77">
        <v>4</v>
      </c>
      <c r="L18" s="68"/>
      <c r="M18" s="68"/>
      <c r="N18" s="77"/>
      <c r="O18" s="77"/>
    </row>
    <row r="19" spans="1:21">
      <c r="A19" s="77" t="s">
        <v>138</v>
      </c>
      <c r="H19" s="86">
        <f>1/(1+C17)^(H18-0.5)</f>
        <v>0.96415723808846621</v>
      </c>
      <c r="I19" s="401">
        <f>1/(1+C17)^(I18-0.5)</f>
        <v>0.89627977768514244</v>
      </c>
      <c r="J19" s="401">
        <f>1/(1+C17)^(J18-0.5)</f>
        <v>0.83318094617013072</v>
      </c>
      <c r="K19" s="401">
        <f>1/(1+C17)^(K18-0.5)</f>
        <v>0.77452432415006378</v>
      </c>
      <c r="L19" s="32"/>
      <c r="M19" s="32"/>
      <c r="N19" s="77"/>
      <c r="O19" s="77"/>
    </row>
    <row r="20" spans="1:21" ht="15">
      <c r="A20" s="224" t="s">
        <v>147</v>
      </c>
      <c r="B20" s="221"/>
      <c r="C20" s="221"/>
      <c r="D20" s="221"/>
      <c r="E20" s="221"/>
      <c r="F20" s="221"/>
      <c r="G20" s="142"/>
      <c r="H20" s="221">
        <f>H19*H16</f>
        <v>683.58748180472253</v>
      </c>
      <c r="I20" s="221">
        <f t="shared" ref="I20:K20" si="0">I19*I16</f>
        <v>635.46236237876599</v>
      </c>
      <c r="J20" s="221">
        <f t="shared" si="0"/>
        <v>590.72529083462268</v>
      </c>
      <c r="K20" s="221">
        <f t="shared" si="0"/>
        <v>549.13774582239523</v>
      </c>
      <c r="L20" s="32"/>
      <c r="M20" s="32"/>
      <c r="N20" s="77"/>
      <c r="O20" s="77"/>
    </row>
    <row r="21" spans="1:21">
      <c r="C21" s="32"/>
      <c r="D21" s="32"/>
      <c r="H21" s="77"/>
      <c r="N21" s="77"/>
      <c r="O21" s="77"/>
    </row>
    <row r="22" spans="1:21">
      <c r="C22" s="32"/>
      <c r="D22" s="32"/>
      <c r="H22" s="77"/>
      <c r="N22" s="77"/>
      <c r="O22" s="77"/>
    </row>
    <row r="23" spans="1:21" ht="45" customHeight="1">
      <c r="H23" s="77"/>
      <c r="N23" s="77"/>
      <c r="O23" s="77"/>
    </row>
    <row r="24" spans="1:21" ht="30" customHeight="1">
      <c r="H24" s="77"/>
      <c r="N24" s="77"/>
      <c r="O24" s="77"/>
    </row>
    <row r="25" spans="1:21" ht="29.25" customHeight="1">
      <c r="A25" s="588" t="s">
        <v>322</v>
      </c>
      <c r="B25" s="588"/>
      <c r="C25" s="588"/>
      <c r="D25" s="588"/>
      <c r="E25" s="588"/>
      <c r="F25" s="588"/>
      <c r="G25" s="588"/>
      <c r="H25" s="588"/>
      <c r="I25" s="588"/>
      <c r="J25" s="588"/>
      <c r="K25" s="588"/>
      <c r="L25" s="588"/>
      <c r="M25" s="588"/>
      <c r="N25" s="588"/>
      <c r="P25" s="588" t="s">
        <v>172</v>
      </c>
      <c r="Q25" s="588"/>
      <c r="R25" s="588"/>
      <c r="S25" s="588"/>
      <c r="T25" s="588"/>
      <c r="U25" s="588"/>
    </row>
    <row r="26" spans="1:21" ht="15">
      <c r="B26" s="205" t="s">
        <v>165</v>
      </c>
      <c r="C26" s="205"/>
      <c r="D26" s="205"/>
      <c r="E26" s="205"/>
      <c r="F26" s="341"/>
      <c r="G26" s="115" t="s">
        <v>163</v>
      </c>
      <c r="H26" s="205" t="s">
        <v>164</v>
      </c>
      <c r="I26" s="205"/>
      <c r="J26" s="205"/>
      <c r="K26" s="205"/>
      <c r="L26" s="115" t="s">
        <v>163</v>
      </c>
      <c r="M26" s="115"/>
      <c r="N26" s="77"/>
      <c r="O26" s="77"/>
    </row>
    <row r="27" spans="1:21" ht="15">
      <c r="A27" s="50" t="s">
        <v>559</v>
      </c>
      <c r="B27" s="342">
        <v>2010</v>
      </c>
      <c r="C27" s="342">
        <v>2011</v>
      </c>
      <c r="D27" s="342">
        <v>2012</v>
      </c>
      <c r="E27" s="342">
        <v>2013</v>
      </c>
      <c r="F27" s="342">
        <f>'DCF Analysis '!F28</f>
        <v>0</v>
      </c>
      <c r="G27" s="114" t="s">
        <v>197</v>
      </c>
      <c r="H27" s="342" t="s">
        <v>162</v>
      </c>
      <c r="I27" s="342" t="s">
        <v>161</v>
      </c>
      <c r="J27" s="342" t="s">
        <v>160</v>
      </c>
      <c r="K27" s="342" t="s">
        <v>159</v>
      </c>
      <c r="L27" s="114" t="s">
        <v>158</v>
      </c>
      <c r="M27" s="114"/>
      <c r="P27" s="120"/>
      <c r="Q27" s="120"/>
      <c r="R27" s="119" t="s">
        <v>162</v>
      </c>
      <c r="S27" s="115" t="s">
        <v>161</v>
      </c>
      <c r="T27" s="115" t="s">
        <v>160</v>
      </c>
      <c r="U27" s="119" t="s">
        <v>159</v>
      </c>
    </row>
    <row r="28" spans="1:21" s="93" customFormat="1" ht="15">
      <c r="A28" s="192" t="s">
        <v>157</v>
      </c>
      <c r="B28" s="193">
        <f>'DCF Analysis '!B$5</f>
        <v>18423</v>
      </c>
      <c r="C28" s="193">
        <f>'DCF Analysis '!C$5</f>
        <v>11073</v>
      </c>
      <c r="D28" s="193">
        <f>'DCF Analysis '!D$5</f>
        <v>6813</v>
      </c>
      <c r="E28" s="193">
        <f>'DCF Analysis '!E$5</f>
        <v>3335</v>
      </c>
      <c r="F28" s="193">
        <f>'DCF Analysis '!F$5</f>
        <v>2601</v>
      </c>
      <c r="G28" s="111">
        <f>((F28/B28)^(1/4))-1</f>
        <v>-0.38702184162308451</v>
      </c>
      <c r="H28" s="193">
        <f>F28*(1+R28)</f>
        <v>2861.1000000000004</v>
      </c>
      <c r="I28" s="193">
        <f>H28*(1+S28)</f>
        <v>3147.2100000000005</v>
      </c>
      <c r="J28" s="193">
        <f>I28*(1+T28)</f>
        <v>3461.9310000000009</v>
      </c>
      <c r="K28" s="193">
        <f>J28*(1+U28)</f>
        <v>3808.1241000000014</v>
      </c>
      <c r="L28" s="111">
        <f>((K28/H28)^(1/3))-1</f>
        <v>0.10000000000000009</v>
      </c>
      <c r="M28" s="111"/>
      <c r="N28" s="32"/>
      <c r="O28" s="32"/>
      <c r="P28" s="117" t="s">
        <v>171</v>
      </c>
      <c r="Q28" s="80"/>
      <c r="R28" s="241">
        <v>0.1</v>
      </c>
      <c r="S28" s="241">
        <v>0.1</v>
      </c>
      <c r="T28" s="241">
        <v>0.1</v>
      </c>
      <c r="U28" s="241">
        <v>0.1</v>
      </c>
    </row>
    <row r="29" spans="1:21">
      <c r="A29" s="93" t="s">
        <v>156</v>
      </c>
      <c r="B29" s="113" t="str">
        <f>IFERROR((B28-#REF!)/#REF!,"")</f>
        <v/>
      </c>
      <c r="C29" s="113">
        <f>IFERROR((C28-B28)/B28,"")</f>
        <v>-0.39895782445855726</v>
      </c>
      <c r="D29" s="113">
        <f>IFERROR((D28-C28)/C28,"")</f>
        <v>-0.38471958818748309</v>
      </c>
      <c r="E29" s="113">
        <f>IFERROR((E28-D28)/D28,"")</f>
        <v>-0.51049464259503885</v>
      </c>
      <c r="F29" s="113">
        <f>IFERROR((F28-E28)/E28,"")</f>
        <v>-0.22008995502248876</v>
      </c>
      <c r="G29" s="57"/>
      <c r="H29" s="113">
        <f>IFERROR((H28-F28)/F28,"")</f>
        <v>0.10000000000000014</v>
      </c>
      <c r="I29" s="113">
        <f>IFERROR((I28-H28)/H28,"")</f>
        <v>0.10000000000000003</v>
      </c>
      <c r="J29" s="113">
        <f>IFERROR((J28-I28)/I28,"")</f>
        <v>0.10000000000000013</v>
      </c>
      <c r="K29" s="113">
        <f>IFERROR((K28-J28)/J28,"")</f>
        <v>0.10000000000000009</v>
      </c>
      <c r="L29" s="57"/>
      <c r="M29" s="57"/>
      <c r="N29" s="93"/>
      <c r="O29" s="93"/>
      <c r="P29" s="93"/>
      <c r="Q29" s="93"/>
      <c r="S29" s="32"/>
      <c r="T29" s="32"/>
    </row>
    <row r="30" spans="1:21" s="93" customFormat="1" ht="15">
      <c r="A30" s="231" t="s">
        <v>62</v>
      </c>
      <c r="B30" s="239">
        <f>'DCF Analysis '!B$7</f>
        <v>3020</v>
      </c>
      <c r="C30" s="239">
        <f>'DCF Analysis '!C$7</f>
        <v>683</v>
      </c>
      <c r="D30" s="239">
        <f>'DCF Analysis '!D$7</f>
        <v>-5516</v>
      </c>
      <c r="E30" s="239">
        <f>'DCF Analysis '!E$7</f>
        <v>351</v>
      </c>
      <c r="F30" s="239">
        <f>'DCF Analysis '!F$7</f>
        <v>86</v>
      </c>
      <c r="G30" s="111">
        <f>((F30/B30)^(1/4))-1</f>
        <v>-0.58920714892633419</v>
      </c>
      <c r="H30" s="239">
        <f>F30*(1+R30)</f>
        <v>92.02000000000001</v>
      </c>
      <c r="I30" s="239">
        <f>H30*(1+R30)</f>
        <v>98.461400000000012</v>
      </c>
      <c r="J30" s="239">
        <f>I30*(1+S30)</f>
        <v>105.35369800000002</v>
      </c>
      <c r="K30" s="239">
        <f>J30*(1+T30)</f>
        <v>112.72845686000004</v>
      </c>
      <c r="L30" s="111">
        <f>((K30/H30)^(1/3))-1</f>
        <v>7.0000000000000062E-2</v>
      </c>
      <c r="M30" s="111"/>
      <c r="N30" s="32"/>
      <c r="O30" s="32"/>
      <c r="P30" s="117" t="s">
        <v>170</v>
      </c>
      <c r="Q30" s="77"/>
      <c r="R30" s="241">
        <v>7.0000000000000007E-2</v>
      </c>
      <c r="S30" s="241">
        <v>7.0000000000000007E-2</v>
      </c>
      <c r="T30" s="241">
        <v>7.0000000000000007E-2</v>
      </c>
      <c r="U30" s="241">
        <v>7.0000000000000007E-2</v>
      </c>
    </row>
    <row r="31" spans="1:21">
      <c r="A31" s="93" t="s">
        <v>154</v>
      </c>
      <c r="B31" s="113">
        <f>B30/B$4</f>
        <v>0.16392552787276773</v>
      </c>
      <c r="C31" s="113">
        <f>C30/C$4</f>
        <v>6.1681567777476742E-2</v>
      </c>
      <c r="D31" s="113">
        <f>D30/D$4</f>
        <v>-0.8096286511081755</v>
      </c>
      <c r="E31" s="113">
        <f>E30/E$4</f>
        <v>0.10524737631184408</v>
      </c>
      <c r="F31" s="113">
        <f>F30/F$4</f>
        <v>3.3064206074586697E-2</v>
      </c>
      <c r="G31" s="57"/>
      <c r="H31" s="113">
        <f>H30/H28</f>
        <v>3.2162454999825243E-2</v>
      </c>
      <c r="I31" s="113">
        <f>I30/I28</f>
        <v>3.1285297136193643E-2</v>
      </c>
      <c r="J31" s="113">
        <f>J30/J28</f>
        <v>3.0432061759751997E-2</v>
      </c>
      <c r="K31" s="113">
        <f>K30/K28</f>
        <v>2.960209643903149E-2</v>
      </c>
      <c r="L31" s="57"/>
      <c r="M31" s="57"/>
      <c r="N31" s="93"/>
      <c r="O31" s="93"/>
      <c r="P31" s="93"/>
      <c r="Q31" s="93"/>
      <c r="S31" s="32"/>
      <c r="T31" s="32"/>
    </row>
    <row r="32" spans="1:21">
      <c r="A32" s="32" t="s">
        <v>155</v>
      </c>
      <c r="B32" s="74">
        <f>'DCF Analysis '!B$9</f>
        <v>1523</v>
      </c>
      <c r="C32" s="74">
        <f>'DCF Analysis '!C$9</f>
        <v>1918</v>
      </c>
      <c r="D32" s="74">
        <f>'DCF Analysis '!D$9</f>
        <v>1270</v>
      </c>
      <c r="E32" s="74">
        <f>'DCF Analysis '!E$9</f>
        <v>694</v>
      </c>
      <c r="F32" s="74">
        <f>'DCF Analysis '!F$9</f>
        <v>659</v>
      </c>
      <c r="G32" s="32"/>
      <c r="H32" s="87">
        <f>H28*R32</f>
        <v>143.05500000000004</v>
      </c>
      <c r="I32" s="87">
        <f t="shared" ref="I32" si="1">I28*S32</f>
        <v>157.36050000000003</v>
      </c>
      <c r="J32" s="87">
        <f>J28*T32</f>
        <v>173.09655000000006</v>
      </c>
      <c r="K32" s="87">
        <f>K28*U32</f>
        <v>190.40620500000009</v>
      </c>
      <c r="L32" s="32"/>
      <c r="M32" s="32"/>
      <c r="P32" s="117" t="s">
        <v>169</v>
      </c>
      <c r="R32" s="241">
        <f>R8</f>
        <v>0.05</v>
      </c>
      <c r="S32" s="241">
        <f t="shared" ref="S32:U32" si="2">S8</f>
        <v>0.05</v>
      </c>
      <c r="T32" s="241">
        <f t="shared" si="2"/>
        <v>0.05</v>
      </c>
      <c r="U32" s="241">
        <f t="shared" si="2"/>
        <v>0.05</v>
      </c>
    </row>
    <row r="33" spans="1:21" s="93" customFormat="1" ht="15">
      <c r="A33" s="231" t="s">
        <v>61</v>
      </c>
      <c r="B33" s="239">
        <f>'DCF Analysis '!B$10</f>
        <v>1497</v>
      </c>
      <c r="C33" s="239">
        <f>'DCF Analysis '!C$10</f>
        <v>-1235</v>
      </c>
      <c r="D33" s="239">
        <f>'DCF Analysis '!D$10</f>
        <v>-6786</v>
      </c>
      <c r="E33" s="239">
        <f>'DCF Analysis '!E$10</f>
        <v>-343</v>
      </c>
      <c r="F33" s="239">
        <f>'DCF Analysis '!F$10</f>
        <v>-573</v>
      </c>
      <c r="G33" s="111" t="e">
        <f>((F33/B33)^(1/4))-1</f>
        <v>#NUM!</v>
      </c>
      <c r="H33" s="239">
        <f>H30-$H32</f>
        <v>-51.035000000000025</v>
      </c>
      <c r="I33" s="239">
        <f>I30-I32</f>
        <v>-58.899100000000018</v>
      </c>
      <c r="J33" s="239">
        <f>J30-J32</f>
        <v>-67.742852000000042</v>
      </c>
      <c r="K33" s="239">
        <f>K30-K32</f>
        <v>-77.677748140000048</v>
      </c>
      <c r="L33" s="111">
        <f>((K33/H33)^(1/3))-1</f>
        <v>0.15029571668149289</v>
      </c>
      <c r="M33" s="111"/>
      <c r="N33" s="32"/>
      <c r="O33" s="32"/>
      <c r="P33" s="77"/>
      <c r="Q33" s="77"/>
      <c r="R33" s="77"/>
      <c r="S33" s="32"/>
      <c r="T33" s="32"/>
      <c r="U33" s="77"/>
    </row>
    <row r="34" spans="1:21">
      <c r="A34" s="93" t="s">
        <v>154</v>
      </c>
      <c r="B34" s="113">
        <f>B33/B$4</f>
        <v>8.1257124246865334E-2</v>
      </c>
      <c r="C34" s="113">
        <f>C33/C$4</f>
        <v>-0.11153255666937596</v>
      </c>
      <c r="D34" s="113">
        <f>D33/D$4</f>
        <v>-0.99603698811096431</v>
      </c>
      <c r="E34" s="113">
        <f>E33/E$4</f>
        <v>-0.10284857571214392</v>
      </c>
      <c r="F34" s="113">
        <f>F33/F$4</f>
        <v>-0.22029988465974626</v>
      </c>
      <c r="G34" s="57"/>
      <c r="H34" s="113">
        <f>H33/H$28</f>
        <v>-1.7837545000174763E-2</v>
      </c>
      <c r="I34" s="113">
        <f>I33/I$28</f>
        <v>-1.871470286380636E-2</v>
      </c>
      <c r="J34" s="113">
        <f>J33/J$28</f>
        <v>-1.9567938240248006E-2</v>
      </c>
      <c r="K34" s="113">
        <f t="shared" ref="K34" si="3">K33/K$28</f>
        <v>-2.0397903560968513E-2</v>
      </c>
      <c r="L34" s="57"/>
      <c r="M34" s="57"/>
      <c r="N34" s="93"/>
      <c r="O34" s="93"/>
      <c r="P34" s="93"/>
      <c r="Q34" s="93"/>
      <c r="S34" s="32"/>
      <c r="T34" s="32"/>
    </row>
    <row r="35" spans="1:21" s="90" customFormat="1" ht="15">
      <c r="A35" s="112" t="s">
        <v>153</v>
      </c>
      <c r="B35" s="74">
        <f>'DCF Analysis '!B$12</f>
        <v>440.26769999999993</v>
      </c>
      <c r="C35" s="74">
        <f>'DCF Analysis '!C$12</f>
        <v>-362.71950000000004</v>
      </c>
      <c r="D35" s="74">
        <f>'DCF Analysis '!D$12</f>
        <v>0</v>
      </c>
      <c r="E35" s="74">
        <f>'DCF Analysis '!E$12</f>
        <v>0</v>
      </c>
      <c r="F35" s="74">
        <f>'DCF Analysis '!F$12</f>
        <v>0</v>
      </c>
      <c r="G35" s="32"/>
      <c r="H35" s="87">
        <f>H33*R35</f>
        <v>-15.106360000000006</v>
      </c>
      <c r="I35" s="87">
        <f>I33*S35</f>
        <v>-17.434133600000006</v>
      </c>
      <c r="J35" s="87">
        <f>J33*T35</f>
        <v>-20.05188419200001</v>
      </c>
      <c r="K35" s="87">
        <f>K33*U35</f>
        <v>-22.992613449440015</v>
      </c>
      <c r="L35" s="32"/>
      <c r="M35" s="32"/>
      <c r="N35" s="32"/>
      <c r="O35" s="32"/>
      <c r="P35" s="83" t="s">
        <v>168</v>
      </c>
      <c r="Q35" s="77"/>
      <c r="R35" s="243">
        <f>R11</f>
        <v>0.29599999999999999</v>
      </c>
      <c r="S35" s="243">
        <f t="shared" ref="S35:U35" si="4">S11</f>
        <v>0.29599999999999999</v>
      </c>
      <c r="T35" s="243">
        <f t="shared" si="4"/>
        <v>0.29599999999999999</v>
      </c>
      <c r="U35" s="243">
        <f t="shared" si="4"/>
        <v>0.29599999999999999</v>
      </c>
    </row>
    <row r="36" spans="1:21" ht="15">
      <c r="A36" s="231" t="s">
        <v>152</v>
      </c>
      <c r="B36" s="240">
        <f>B33-B35</f>
        <v>1056.7323000000001</v>
      </c>
      <c r="C36" s="240">
        <f>C33-C35</f>
        <v>-872.28049999999996</v>
      </c>
      <c r="D36" s="240">
        <f>D33-D35</f>
        <v>-6786</v>
      </c>
      <c r="E36" s="240">
        <f>E33-E35</f>
        <v>-343</v>
      </c>
      <c r="F36" s="240">
        <f>F33-F35</f>
        <v>-573</v>
      </c>
      <c r="G36" s="111" t="e">
        <f>((F36/B36)^(1/4))-1</f>
        <v>#NUM!</v>
      </c>
      <c r="H36" s="240">
        <f>H33-$H35</f>
        <v>-35.928640000000016</v>
      </c>
      <c r="I36" s="240">
        <f>I33-I35</f>
        <v>-41.464966400000009</v>
      </c>
      <c r="J36" s="240">
        <f>J33-J35</f>
        <v>-47.690967808000032</v>
      </c>
      <c r="K36" s="240">
        <f>K33-K35</f>
        <v>-54.685134690560034</v>
      </c>
      <c r="L36" s="111">
        <f>((K36/H36)^(1/3))-1</f>
        <v>0.15029571668149289</v>
      </c>
      <c r="M36" s="111"/>
      <c r="N36" s="90"/>
      <c r="O36" s="90"/>
      <c r="P36" s="90"/>
      <c r="Q36" s="90"/>
      <c r="R36" s="90"/>
      <c r="S36" s="61"/>
      <c r="T36" s="61"/>
      <c r="U36" s="90"/>
    </row>
    <row r="37" spans="1:21">
      <c r="A37" s="77" t="s">
        <v>151</v>
      </c>
      <c r="B37" s="100">
        <f>B32</f>
        <v>1523</v>
      </c>
      <c r="C37" s="100">
        <f>C32</f>
        <v>1918</v>
      </c>
      <c r="D37" s="100">
        <f>D32</f>
        <v>1270</v>
      </c>
      <c r="E37" s="100">
        <f>E32</f>
        <v>694</v>
      </c>
      <c r="F37" s="100">
        <f>F32</f>
        <v>659</v>
      </c>
      <c r="G37" s="32"/>
      <c r="H37" s="100">
        <f>H32</f>
        <v>143.05500000000004</v>
      </c>
      <c r="I37" s="100">
        <f>I32</f>
        <v>157.36050000000003</v>
      </c>
      <c r="J37" s="100">
        <f>J32</f>
        <v>173.09655000000006</v>
      </c>
      <c r="K37" s="100">
        <f>K32</f>
        <v>190.40620500000009</v>
      </c>
      <c r="L37" s="32"/>
      <c r="M37" s="32"/>
      <c r="S37" s="32"/>
      <c r="T37" s="32"/>
    </row>
    <row r="38" spans="1:21">
      <c r="A38" s="77" t="s">
        <v>150</v>
      </c>
      <c r="B38" s="100">
        <f>'DCF Analysis '!B$15</f>
        <v>396</v>
      </c>
      <c r="C38" s="100">
        <f>'DCF Analysis '!C$15</f>
        <v>671</v>
      </c>
      <c r="D38" s="100">
        <f>'DCF Analysis '!D$15</f>
        <v>929</v>
      </c>
      <c r="E38" s="100">
        <f>'DCF Analysis '!E$15</f>
        <v>562</v>
      </c>
      <c r="F38" s="74">
        <f>'DCF Analysis '!F$15</f>
        <v>567</v>
      </c>
      <c r="G38" s="32"/>
      <c r="H38" s="118">
        <f>H28*R38</f>
        <v>254.62800000000004</v>
      </c>
      <c r="I38" s="118">
        <f>I28*S38</f>
        <v>280.09080000000006</v>
      </c>
      <c r="J38" s="118">
        <f>J28*T38</f>
        <v>308.0998800000001</v>
      </c>
      <c r="K38" s="118">
        <f>K28*U38</f>
        <v>338.90986800000013</v>
      </c>
      <c r="L38" s="32"/>
      <c r="M38" s="32"/>
      <c r="P38" s="117" t="s">
        <v>167</v>
      </c>
      <c r="R38" s="241">
        <f>R14-0.02</f>
        <v>8.8996539792387544E-2</v>
      </c>
      <c r="S38" s="241">
        <f>S14-0.02</f>
        <v>8.8996539792387544E-2</v>
      </c>
      <c r="T38" s="241">
        <f>T14-0.02</f>
        <v>8.8996539792387544E-2</v>
      </c>
      <c r="U38" s="241">
        <f>U14-0.02</f>
        <v>8.8996539792387544E-2</v>
      </c>
    </row>
    <row r="39" spans="1:21">
      <c r="A39" s="112" t="s">
        <v>70</v>
      </c>
      <c r="B39" s="100">
        <f>'Change in NWC'!C$22</f>
        <v>0</v>
      </c>
      <c r="C39" s="100">
        <f>'Change in NWC'!D$22</f>
        <v>-195</v>
      </c>
      <c r="D39" s="100">
        <f>'Change in NWC'!E$22</f>
        <v>-651</v>
      </c>
      <c r="E39" s="100">
        <f>'Change in NWC'!F$22</f>
        <v>-409</v>
      </c>
      <c r="F39" s="100">
        <f>'Change in NWC'!G$22</f>
        <v>-230</v>
      </c>
      <c r="G39" s="32"/>
      <c r="H39" s="118">
        <f>'Change in NWC'!I$22</f>
        <v>505.26182873730045</v>
      </c>
      <c r="I39" s="118">
        <f>'Change in NWC'!J$22</f>
        <v>-4.7565457184325624</v>
      </c>
      <c r="J39" s="118">
        <f>'Change in NWC'!K$22</f>
        <v>-4.7565457184325055</v>
      </c>
      <c r="K39" s="118">
        <f>'Change in NWC'!L$22</f>
        <v>-4.7565457184324487</v>
      </c>
      <c r="L39" s="32"/>
      <c r="M39" s="32"/>
      <c r="P39" s="32"/>
      <c r="Q39" s="32"/>
      <c r="R39" s="32"/>
      <c r="S39" s="32"/>
      <c r="T39" s="32"/>
    </row>
    <row r="40" spans="1:21" ht="15">
      <c r="A40" s="231" t="s">
        <v>149</v>
      </c>
      <c r="B40" s="240">
        <f>B36+B37-B38+B39</f>
        <v>2183.7323000000001</v>
      </c>
      <c r="C40" s="240">
        <f>C36+C37-C38-C39</f>
        <v>569.71950000000015</v>
      </c>
      <c r="D40" s="240">
        <f>D36+D37-D38-D39</f>
        <v>-5794</v>
      </c>
      <c r="E40" s="240">
        <f>E36+E37-E38-E39</f>
        <v>198</v>
      </c>
      <c r="F40" s="240">
        <f>F36+F37-F38-F39</f>
        <v>-251</v>
      </c>
      <c r="G40" s="254"/>
      <c r="H40" s="240">
        <f>H36+H37-H38-H39</f>
        <v>-652.7634687373004</v>
      </c>
      <c r="I40" s="240">
        <f>I36+I37-I38-I39</f>
        <v>-159.43872068156747</v>
      </c>
      <c r="J40" s="240">
        <f>J36+J37-J38-J39</f>
        <v>-177.93775208956757</v>
      </c>
      <c r="K40" s="240">
        <f>K36+K37-K38-K39</f>
        <v>-198.43225197212763</v>
      </c>
      <c r="L40" s="32"/>
      <c r="M40" s="32"/>
      <c r="N40" s="77"/>
      <c r="O40" s="77"/>
    </row>
    <row r="41" spans="1:21">
      <c r="A41" s="77" t="s">
        <v>28</v>
      </c>
      <c r="C41" s="117">
        <f>'DCF Analysis '!$B$19</f>
        <v>7.5732446601253889E-2</v>
      </c>
      <c r="D41" s="100"/>
      <c r="E41" s="100"/>
      <c r="F41" s="100"/>
      <c r="G41" s="100"/>
      <c r="I41" s="32"/>
      <c r="J41" s="32"/>
      <c r="K41" s="32"/>
      <c r="L41" s="32"/>
      <c r="M41" s="32"/>
      <c r="O41" s="77"/>
    </row>
    <row r="42" spans="1:21">
      <c r="A42" s="77" t="s">
        <v>148</v>
      </c>
      <c r="H42" s="32">
        <v>1</v>
      </c>
      <c r="I42" s="77">
        <v>2</v>
      </c>
      <c r="J42" s="77">
        <v>3</v>
      </c>
      <c r="K42" s="77">
        <v>4</v>
      </c>
      <c r="L42" s="68"/>
      <c r="M42" s="68"/>
      <c r="N42" s="77"/>
      <c r="O42" s="77"/>
    </row>
    <row r="43" spans="1:21">
      <c r="A43" s="77" t="s">
        <v>138</v>
      </c>
      <c r="H43" s="86">
        <f>1/(1+C41)^(H42-0.5)</f>
        <v>0.96415723808846621</v>
      </c>
      <c r="I43" s="401">
        <f>1/(1+C41)^(I42-0.5)</f>
        <v>0.89627977768514244</v>
      </c>
      <c r="J43" s="401">
        <f>1/(1+C41)^(J42-0.5)</f>
        <v>0.83318094617013072</v>
      </c>
      <c r="K43" s="401">
        <f>1/(1+C41)^(K42-0.5)</f>
        <v>0.77452432415006378</v>
      </c>
      <c r="L43" s="32"/>
      <c r="M43" s="32"/>
      <c r="N43" s="77"/>
      <c r="O43" s="77"/>
    </row>
    <row r="44" spans="1:21" ht="15">
      <c r="A44" s="224" t="s">
        <v>147</v>
      </c>
      <c r="B44" s="221"/>
      <c r="C44" s="221"/>
      <c r="D44" s="221"/>
      <c r="E44" s="221"/>
      <c r="F44" s="221"/>
      <c r="G44" s="142"/>
      <c r="H44" s="221">
        <f>H43*H40</f>
        <v>-629.36662314280238</v>
      </c>
      <c r="I44" s="221">
        <f t="shared" ref="I44:K44" si="5">I43*I40</f>
        <v>-142.90170112687881</v>
      </c>
      <c r="J44" s="221">
        <f t="shared" si="5"/>
        <v>-148.25434464537207</v>
      </c>
      <c r="K44" s="221">
        <f t="shared" si="5"/>
        <v>-153.6906058482873</v>
      </c>
      <c r="L44" s="32"/>
      <c r="M44" s="32"/>
      <c r="N44" s="77"/>
      <c r="O44" s="77"/>
    </row>
    <row r="45" spans="1:21">
      <c r="H45" s="77"/>
      <c r="N45" s="77"/>
      <c r="O45" s="77"/>
    </row>
    <row r="46" spans="1:21">
      <c r="H46" s="77"/>
      <c r="N46" s="77"/>
      <c r="O46" s="77"/>
    </row>
    <row r="47" spans="1:21">
      <c r="H47" s="77"/>
      <c r="N47" s="77"/>
      <c r="O47" s="77"/>
    </row>
    <row r="48" spans="1:21" ht="15.75" customHeight="1">
      <c r="H48" s="77"/>
      <c r="N48" s="77"/>
      <c r="O48" s="77"/>
    </row>
    <row r="49" spans="1:21" ht="30" customHeight="1">
      <c r="A49" s="588" t="s">
        <v>323</v>
      </c>
      <c r="B49" s="588"/>
      <c r="C49" s="588"/>
      <c r="D49" s="588"/>
      <c r="E49" s="588"/>
      <c r="F49" s="588"/>
      <c r="G49" s="588"/>
      <c r="H49" s="588"/>
      <c r="I49" s="588"/>
      <c r="J49" s="588"/>
      <c r="K49" s="588"/>
      <c r="L49" s="588"/>
      <c r="M49" s="588"/>
      <c r="N49" s="588"/>
      <c r="P49" s="588" t="s">
        <v>172</v>
      </c>
      <c r="Q49" s="588"/>
      <c r="R49" s="588"/>
      <c r="S49" s="588"/>
      <c r="T49" s="588"/>
      <c r="U49" s="588"/>
    </row>
    <row r="50" spans="1:21" ht="15">
      <c r="B50" s="205" t="s">
        <v>165</v>
      </c>
      <c r="C50" s="205"/>
      <c r="D50" s="205"/>
      <c r="E50" s="205"/>
      <c r="F50" s="341"/>
      <c r="G50" s="115" t="s">
        <v>163</v>
      </c>
      <c r="H50" s="205" t="s">
        <v>164</v>
      </c>
      <c r="I50" s="205"/>
      <c r="J50" s="205"/>
      <c r="K50" s="205"/>
      <c r="L50" s="115" t="s">
        <v>163</v>
      </c>
      <c r="M50" s="115"/>
      <c r="N50" s="77"/>
      <c r="O50" s="77"/>
    </row>
    <row r="51" spans="1:21" ht="15">
      <c r="A51" s="50" t="s">
        <v>559</v>
      </c>
      <c r="B51" s="342">
        <v>2010</v>
      </c>
      <c r="C51" s="342">
        <v>2011</v>
      </c>
      <c r="D51" s="342">
        <v>2012</v>
      </c>
      <c r="E51" s="342">
        <v>2013</v>
      </c>
      <c r="F51" s="342">
        <f>'DCF Analysis '!F52</f>
        <v>0</v>
      </c>
      <c r="G51" s="114" t="s">
        <v>197</v>
      </c>
      <c r="H51" s="342" t="s">
        <v>162</v>
      </c>
      <c r="I51" s="342" t="s">
        <v>161</v>
      </c>
      <c r="J51" s="342" t="s">
        <v>160</v>
      </c>
      <c r="K51" s="342" t="s">
        <v>159</v>
      </c>
      <c r="L51" s="114" t="s">
        <v>158</v>
      </c>
      <c r="M51" s="114"/>
      <c r="P51" s="120"/>
      <c r="Q51" s="120"/>
      <c r="R51" s="119" t="s">
        <v>162</v>
      </c>
      <c r="S51" s="115" t="s">
        <v>161</v>
      </c>
      <c r="T51" s="115" t="s">
        <v>160</v>
      </c>
      <c r="U51" s="119" t="s">
        <v>159</v>
      </c>
    </row>
    <row r="52" spans="1:21" s="93" customFormat="1" ht="15">
      <c r="A52" s="192" t="s">
        <v>157</v>
      </c>
      <c r="B52" s="193">
        <f>'DCF Analysis '!B$5</f>
        <v>18423</v>
      </c>
      <c r="C52" s="193">
        <f>'DCF Analysis '!C$5</f>
        <v>11073</v>
      </c>
      <c r="D52" s="193">
        <f>'DCF Analysis '!D$5</f>
        <v>6813</v>
      </c>
      <c r="E52" s="193">
        <f>'DCF Analysis '!E$5</f>
        <v>3335</v>
      </c>
      <c r="F52" s="193">
        <f>'DCF Analysis '!F$5</f>
        <v>2601</v>
      </c>
      <c r="G52" s="111">
        <f>((F52/B52)^(1/4))-1</f>
        <v>-0.38702184162308451</v>
      </c>
      <c r="H52" s="193">
        <f>F52*(1+R52)</f>
        <v>2340.9</v>
      </c>
      <c r="I52" s="193">
        <f>H52*(1+S52)</f>
        <v>2106.81</v>
      </c>
      <c r="J52" s="193">
        <f>I52*(1+T52)</f>
        <v>1896.1289999999999</v>
      </c>
      <c r="K52" s="193">
        <f>J52*(1+U52)</f>
        <v>1706.5161000000001</v>
      </c>
      <c r="L52" s="111">
        <f>((K52/H52)^(1/3))-1</f>
        <v>-9.9999999999999978E-2</v>
      </c>
      <c r="M52" s="111"/>
      <c r="N52" s="32"/>
      <c r="O52" s="32"/>
      <c r="P52" s="117" t="s">
        <v>171</v>
      </c>
      <c r="Q52" s="80"/>
      <c r="R52" s="241">
        <v>-0.1</v>
      </c>
      <c r="S52" s="241">
        <v>-0.1</v>
      </c>
      <c r="T52" s="241">
        <v>-0.1</v>
      </c>
      <c r="U52" s="241">
        <v>-0.1</v>
      </c>
    </row>
    <row r="53" spans="1:21">
      <c r="A53" s="93" t="s">
        <v>156</v>
      </c>
      <c r="B53" s="113" t="str">
        <f>IFERROR((B52-#REF!)/#REF!,"")</f>
        <v/>
      </c>
      <c r="C53" s="113">
        <f>IFERROR((C52-B52)/B52,"")</f>
        <v>-0.39895782445855726</v>
      </c>
      <c r="D53" s="113">
        <f>IFERROR((D52-C52)/C52,"")</f>
        <v>-0.38471958818748309</v>
      </c>
      <c r="E53" s="113">
        <f>IFERROR((E52-D52)/D52,"")</f>
        <v>-0.51049464259503885</v>
      </c>
      <c r="F53" s="113">
        <f>IFERROR((F52-E52)/E52,"")</f>
        <v>-0.22008995502248876</v>
      </c>
      <c r="G53" s="57"/>
      <c r="H53" s="113">
        <f>IFERROR((H52-F52)/F52,"")</f>
        <v>-9.9999999999999964E-2</v>
      </c>
      <c r="I53" s="113">
        <f>IFERROR((I52-H52)/H52,"")</f>
        <v>-0.10000000000000006</v>
      </c>
      <c r="J53" s="113">
        <f>IFERROR((J52-I52)/I52,"")</f>
        <v>-0.10000000000000002</v>
      </c>
      <c r="K53" s="113">
        <f>IFERROR((K52-J52)/J52,"")</f>
        <v>-9.9999999999999922E-2</v>
      </c>
      <c r="L53" s="57"/>
      <c r="M53" s="57"/>
      <c r="N53" s="93"/>
      <c r="O53" s="93"/>
      <c r="P53" s="93"/>
      <c r="Q53" s="93"/>
      <c r="S53" s="32"/>
      <c r="T53" s="32"/>
    </row>
    <row r="54" spans="1:21" s="93" customFormat="1" ht="15">
      <c r="A54" s="231" t="s">
        <v>62</v>
      </c>
      <c r="B54" s="239">
        <f>'DCF Analysis '!B$7</f>
        <v>3020</v>
      </c>
      <c r="C54" s="239">
        <f>'DCF Analysis '!C$7</f>
        <v>683</v>
      </c>
      <c r="D54" s="239">
        <f>'DCF Analysis '!D$7</f>
        <v>-5516</v>
      </c>
      <c r="E54" s="239">
        <f>'DCF Analysis '!E$7</f>
        <v>351</v>
      </c>
      <c r="F54" s="239">
        <f>'DCF Analysis '!F$7</f>
        <v>86</v>
      </c>
      <c r="G54" s="111">
        <f>((F54/B54)^(1/4))-1</f>
        <v>-0.58920714892633419</v>
      </c>
      <c r="H54" s="239">
        <f>F54*(1+R54)</f>
        <v>77.400000000000006</v>
      </c>
      <c r="I54" s="239">
        <f>H54*(1+R54)</f>
        <v>69.660000000000011</v>
      </c>
      <c r="J54" s="239">
        <f>I54*(1+S54)</f>
        <v>62.69400000000001</v>
      </c>
      <c r="K54" s="239">
        <f>J54*(1+T54)</f>
        <v>56.424600000000012</v>
      </c>
      <c r="L54" s="111">
        <f>((K54/H54)^(1/3))-1</f>
        <v>-9.9999999999999978E-2</v>
      </c>
      <c r="M54" s="111"/>
      <c r="N54" s="32"/>
      <c r="O54" s="32"/>
      <c r="P54" s="117" t="s">
        <v>170</v>
      </c>
      <c r="Q54" s="77"/>
      <c r="R54" s="551">
        <v>-0.1</v>
      </c>
      <c r="S54" s="551">
        <v>-0.1</v>
      </c>
      <c r="T54" s="551">
        <v>-0.1</v>
      </c>
      <c r="U54" s="551">
        <v>-0.1</v>
      </c>
    </row>
    <row r="55" spans="1:21">
      <c r="A55" s="93" t="s">
        <v>154</v>
      </c>
      <c r="B55" s="113">
        <f>B54/B$4</f>
        <v>0.16392552787276773</v>
      </c>
      <c r="C55" s="113">
        <f>C54/C$4</f>
        <v>6.1681567777476742E-2</v>
      </c>
      <c r="D55" s="113">
        <f>D54/D$4</f>
        <v>-0.8096286511081755</v>
      </c>
      <c r="E55" s="113">
        <f>E54/E$4</f>
        <v>0.10524737631184408</v>
      </c>
      <c r="F55" s="113">
        <f>F54/F$4</f>
        <v>3.3064206074586697E-2</v>
      </c>
      <c r="G55" s="57"/>
      <c r="H55" s="113">
        <f>H54/H52</f>
        <v>3.3064206074586697E-2</v>
      </c>
      <c r="I55" s="113">
        <f>I54/I52</f>
        <v>3.3064206074586704E-2</v>
      </c>
      <c r="J55" s="113">
        <f>J54/J52</f>
        <v>3.3064206074586704E-2</v>
      </c>
      <c r="K55" s="113">
        <f>K54/K52</f>
        <v>3.3064206074586704E-2</v>
      </c>
      <c r="L55" s="57"/>
      <c r="M55" s="57"/>
      <c r="N55" s="93"/>
      <c r="O55" s="93"/>
      <c r="P55" s="93"/>
      <c r="Q55" s="93"/>
      <c r="S55" s="32"/>
      <c r="T55" s="32"/>
    </row>
    <row r="56" spans="1:21">
      <c r="A56" s="32" t="s">
        <v>155</v>
      </c>
      <c r="B56" s="74">
        <f>'DCF Analysis '!B$9</f>
        <v>1523</v>
      </c>
      <c r="C56" s="74">
        <f>'DCF Analysis '!C$9</f>
        <v>1918</v>
      </c>
      <c r="D56" s="74">
        <f>'DCF Analysis '!D$9</f>
        <v>1270</v>
      </c>
      <c r="E56" s="74">
        <f>'DCF Analysis '!E$9</f>
        <v>694</v>
      </c>
      <c r="F56" s="74">
        <f>'DCF Analysis '!F$9</f>
        <v>659</v>
      </c>
      <c r="G56" s="32"/>
      <c r="H56" s="87">
        <f>H52*R56</f>
        <v>117.04500000000002</v>
      </c>
      <c r="I56" s="87">
        <f t="shared" ref="I56" si="6">I52*S56</f>
        <v>105.34050000000001</v>
      </c>
      <c r="J56" s="87">
        <f>J52*T56</f>
        <v>94.806449999999998</v>
      </c>
      <c r="K56" s="87">
        <f>K52*U56</f>
        <v>85.325805000000003</v>
      </c>
      <c r="L56" s="32"/>
      <c r="M56" s="32"/>
      <c r="P56" s="117" t="s">
        <v>169</v>
      </c>
      <c r="R56" s="241">
        <f>R32</f>
        <v>0.05</v>
      </c>
      <c r="S56" s="241">
        <f t="shared" ref="S56:U56" si="7">S32</f>
        <v>0.05</v>
      </c>
      <c r="T56" s="241">
        <f t="shared" si="7"/>
        <v>0.05</v>
      </c>
      <c r="U56" s="241">
        <f t="shared" si="7"/>
        <v>0.05</v>
      </c>
    </row>
    <row r="57" spans="1:21" s="93" customFormat="1" ht="15">
      <c r="A57" s="231" t="s">
        <v>61</v>
      </c>
      <c r="B57" s="239">
        <f>'DCF Analysis '!B$10</f>
        <v>1497</v>
      </c>
      <c r="C57" s="239">
        <f>'DCF Analysis '!C$10</f>
        <v>-1235</v>
      </c>
      <c r="D57" s="239">
        <f>'DCF Analysis '!D$10</f>
        <v>-6786</v>
      </c>
      <c r="E57" s="239">
        <f>'DCF Analysis '!E$10</f>
        <v>-343</v>
      </c>
      <c r="F57" s="239">
        <f>'DCF Analysis '!F$10</f>
        <v>-573</v>
      </c>
      <c r="G57" s="111" t="e">
        <f>((F57/B57)^(1/4))-1</f>
        <v>#NUM!</v>
      </c>
      <c r="H57" s="239">
        <f>H54-$H56</f>
        <v>-39.64500000000001</v>
      </c>
      <c r="I57" s="239">
        <f>I54-I56</f>
        <v>-35.680499999999995</v>
      </c>
      <c r="J57" s="239">
        <f>J54-J56</f>
        <v>-32.112449999999988</v>
      </c>
      <c r="K57" s="239">
        <f>K54-K56</f>
        <v>-28.90120499999999</v>
      </c>
      <c r="L57" s="111">
        <f>((K57/H57)^(1/3))-1</f>
        <v>-0.1000000000000002</v>
      </c>
      <c r="M57" s="111"/>
      <c r="N57" s="32"/>
      <c r="O57" s="32"/>
      <c r="P57" s="77"/>
      <c r="Q57" s="77"/>
      <c r="R57" s="77"/>
      <c r="S57" s="32"/>
      <c r="T57" s="32"/>
      <c r="U57" s="77"/>
    </row>
    <row r="58" spans="1:21">
      <c r="A58" s="93" t="s">
        <v>154</v>
      </c>
      <c r="B58" s="113">
        <f>B57/B$4</f>
        <v>8.1257124246865334E-2</v>
      </c>
      <c r="C58" s="113">
        <f>C57/C$4</f>
        <v>-0.11153255666937596</v>
      </c>
      <c r="D58" s="113">
        <f>D57/D$4</f>
        <v>-0.99603698811096431</v>
      </c>
      <c r="E58" s="113">
        <f>E57/E$4</f>
        <v>-0.10284857571214392</v>
      </c>
      <c r="F58" s="113">
        <f>F57/F$4</f>
        <v>-0.22029988465974626</v>
      </c>
      <c r="G58" s="57"/>
      <c r="H58" s="113">
        <f>H57/H$28</f>
        <v>-1.385655866624725E-2</v>
      </c>
      <c r="I58" s="113">
        <f>I57/I$28</f>
        <v>-1.1337184363293199E-2</v>
      </c>
      <c r="J58" s="113">
        <f>J57/J$28</f>
        <v>-9.2758781154217047E-3</v>
      </c>
      <c r="K58" s="113">
        <f t="shared" ref="K58" si="8">K57/K$28</f>
        <v>-7.5893548217086677E-3</v>
      </c>
      <c r="L58" s="57"/>
      <c r="M58" s="57"/>
      <c r="N58" s="93"/>
      <c r="O58" s="93"/>
      <c r="P58" s="93"/>
      <c r="Q58" s="93"/>
      <c r="S58" s="32"/>
      <c r="T58" s="32"/>
    </row>
    <row r="59" spans="1:21" s="90" customFormat="1" ht="15">
      <c r="A59" s="112" t="s">
        <v>153</v>
      </c>
      <c r="B59" s="74">
        <f>'DCF Analysis '!B$12</f>
        <v>440.26769999999993</v>
      </c>
      <c r="C59" s="74">
        <f>'DCF Analysis '!C$12</f>
        <v>-362.71950000000004</v>
      </c>
      <c r="D59" s="74">
        <f>'DCF Analysis '!D$12</f>
        <v>0</v>
      </c>
      <c r="E59" s="74">
        <f>'DCF Analysis '!E$12</f>
        <v>0</v>
      </c>
      <c r="F59" s="74">
        <f>'DCF Analysis '!F$12</f>
        <v>0</v>
      </c>
      <c r="G59" s="32"/>
      <c r="H59" s="87">
        <f>H57*R59</f>
        <v>-11.734920000000002</v>
      </c>
      <c r="I59" s="87">
        <f>I57*S59</f>
        <v>-10.561427999999998</v>
      </c>
      <c r="J59" s="87">
        <f>J57*T59</f>
        <v>-9.5052851999999959</v>
      </c>
      <c r="K59" s="87">
        <f>K57*U59</f>
        <v>-8.554756679999997</v>
      </c>
      <c r="L59" s="32"/>
      <c r="M59" s="32"/>
      <c r="N59" s="32"/>
      <c r="O59" s="32"/>
      <c r="P59" s="83" t="s">
        <v>168</v>
      </c>
      <c r="Q59" s="77"/>
      <c r="R59" s="243">
        <f>R35</f>
        <v>0.29599999999999999</v>
      </c>
      <c r="S59" s="243">
        <f t="shared" ref="S59:U59" si="9">S35</f>
        <v>0.29599999999999999</v>
      </c>
      <c r="T59" s="243">
        <f t="shared" si="9"/>
        <v>0.29599999999999999</v>
      </c>
      <c r="U59" s="243">
        <f t="shared" si="9"/>
        <v>0.29599999999999999</v>
      </c>
    </row>
    <row r="60" spans="1:21" ht="15">
      <c r="A60" s="231" t="s">
        <v>152</v>
      </c>
      <c r="B60" s="240">
        <f>B57-B59</f>
        <v>1056.7323000000001</v>
      </c>
      <c r="C60" s="240">
        <f>C57-C59</f>
        <v>-872.28049999999996</v>
      </c>
      <c r="D60" s="240">
        <f>D57-D59</f>
        <v>-6786</v>
      </c>
      <c r="E60" s="240">
        <f>E57-E59</f>
        <v>-343</v>
      </c>
      <c r="F60" s="240">
        <f>F57-F59</f>
        <v>-573</v>
      </c>
      <c r="G60" s="111" t="e">
        <f>((F60/B60)^(1/4))-1</f>
        <v>#NUM!</v>
      </c>
      <c r="H60" s="240">
        <f>H57-$H59</f>
        <v>-27.910080000000008</v>
      </c>
      <c r="I60" s="240">
        <f>I57-I59</f>
        <v>-25.119071999999996</v>
      </c>
      <c r="J60" s="240">
        <f>J57-J59</f>
        <v>-22.607164799999993</v>
      </c>
      <c r="K60" s="240">
        <f>K57-K59</f>
        <v>-20.346448319999993</v>
      </c>
      <c r="L60" s="111">
        <f>((K60/H60)^(1/3))-1</f>
        <v>-0.1000000000000002</v>
      </c>
      <c r="M60" s="111"/>
      <c r="N60" s="90"/>
      <c r="O60" s="90"/>
      <c r="P60" s="90"/>
      <c r="Q60" s="90"/>
      <c r="R60" s="90"/>
      <c r="S60" s="61"/>
      <c r="T60" s="61"/>
      <c r="U60" s="90"/>
    </row>
    <row r="61" spans="1:21">
      <c r="A61" s="77" t="s">
        <v>151</v>
      </c>
      <c r="B61" s="100">
        <f>B56</f>
        <v>1523</v>
      </c>
      <c r="C61" s="100">
        <f>C56</f>
        <v>1918</v>
      </c>
      <c r="D61" s="100">
        <f>D56</f>
        <v>1270</v>
      </c>
      <c r="E61" s="100">
        <f>E56</f>
        <v>694</v>
      </c>
      <c r="F61" s="100">
        <f>F56</f>
        <v>659</v>
      </c>
      <c r="G61" s="32"/>
      <c r="H61" s="100">
        <f>H56</f>
        <v>117.04500000000002</v>
      </c>
      <c r="I61" s="100">
        <f>I56</f>
        <v>105.34050000000001</v>
      </c>
      <c r="J61" s="100">
        <f>J56</f>
        <v>94.806449999999998</v>
      </c>
      <c r="K61" s="100">
        <f>K56</f>
        <v>85.325805000000003</v>
      </c>
      <c r="L61" s="32"/>
      <c r="M61" s="32"/>
      <c r="S61" s="32"/>
      <c r="T61" s="32"/>
    </row>
    <row r="62" spans="1:21">
      <c r="A62" s="77" t="s">
        <v>150</v>
      </c>
      <c r="B62" s="100">
        <f>'DCF Analysis '!B$15</f>
        <v>396</v>
      </c>
      <c r="C62" s="100">
        <f>'DCF Analysis '!C$15</f>
        <v>671</v>
      </c>
      <c r="D62" s="100">
        <f>'DCF Analysis '!D$15</f>
        <v>929</v>
      </c>
      <c r="E62" s="100">
        <f>'DCF Analysis '!E$15</f>
        <v>562</v>
      </c>
      <c r="F62" s="74">
        <f>'DCF Analysis '!F$15</f>
        <v>567</v>
      </c>
      <c r="G62" s="32"/>
      <c r="H62" s="118">
        <f>H52*R62</f>
        <v>208.33200000000002</v>
      </c>
      <c r="I62" s="118">
        <f>I52*S62</f>
        <v>187.49879999999999</v>
      </c>
      <c r="J62" s="118">
        <f>J52*T62</f>
        <v>168.74892</v>
      </c>
      <c r="K62" s="118">
        <f>K52*U62</f>
        <v>151.87402800000001</v>
      </c>
      <c r="L62" s="32"/>
      <c r="M62" s="32"/>
      <c r="P62" s="117" t="s">
        <v>167</v>
      </c>
      <c r="R62" s="241">
        <f>R38</f>
        <v>8.8996539792387544E-2</v>
      </c>
      <c r="S62" s="241">
        <f t="shared" ref="S62:U62" si="10">S38</f>
        <v>8.8996539792387544E-2</v>
      </c>
      <c r="T62" s="241">
        <f t="shared" si="10"/>
        <v>8.8996539792387544E-2</v>
      </c>
      <c r="U62" s="241">
        <f t="shared" si="10"/>
        <v>8.8996539792387544E-2</v>
      </c>
    </row>
    <row r="63" spans="1:21">
      <c r="A63" s="112" t="s">
        <v>70</v>
      </c>
      <c r="B63" s="100">
        <f>'Change in NWC'!C$22</f>
        <v>0</v>
      </c>
      <c r="C63" s="100">
        <f>'Change in NWC'!D$22</f>
        <v>-195</v>
      </c>
      <c r="D63" s="100">
        <f>'Change in NWC'!E$22</f>
        <v>-651</v>
      </c>
      <c r="E63" s="100">
        <f>'Change in NWC'!F$22</f>
        <v>-409</v>
      </c>
      <c r="F63" s="100">
        <f>'Change in NWC'!G$22</f>
        <v>-230</v>
      </c>
      <c r="G63" s="32"/>
      <c r="H63" s="118">
        <f>'Change in NWC'!I$22</f>
        <v>505.26182873730045</v>
      </c>
      <c r="I63" s="118">
        <f>'Change in NWC'!J$22</f>
        <v>-4.7565457184325624</v>
      </c>
      <c r="J63" s="118">
        <f>'Change in NWC'!K$22</f>
        <v>-4.7565457184325055</v>
      </c>
      <c r="K63" s="118">
        <f>'Change in NWC'!L$22</f>
        <v>-4.7565457184324487</v>
      </c>
      <c r="L63" s="32"/>
      <c r="M63" s="32"/>
      <c r="P63" s="32"/>
      <c r="Q63" s="32"/>
      <c r="R63" s="32"/>
      <c r="S63" s="32"/>
      <c r="T63" s="32"/>
    </row>
    <row r="64" spans="1:21" ht="15">
      <c r="A64" s="231" t="s">
        <v>149</v>
      </c>
      <c r="B64" s="240">
        <f>B60+B61-B62+B63</f>
        <v>2183.7323000000001</v>
      </c>
      <c r="C64" s="240">
        <f>C60+C61-C62-C63</f>
        <v>569.71950000000015</v>
      </c>
      <c r="D64" s="240">
        <f>D60+D61-D62-D63</f>
        <v>-5794</v>
      </c>
      <c r="E64" s="240">
        <f>E60+E61-E62-E63</f>
        <v>198</v>
      </c>
      <c r="F64" s="240">
        <f>F60+F61-F62-F63</f>
        <v>-251</v>
      </c>
      <c r="G64" s="254"/>
      <c r="H64" s="240">
        <f>H60+H61-H62-H63</f>
        <v>-624.45890873730048</v>
      </c>
      <c r="I64" s="240">
        <f>I60+I61-I62-I63</f>
        <v>-102.52082628156742</v>
      </c>
      <c r="J64" s="240">
        <f>J60+J61-J62-J63</f>
        <v>-91.793089081567487</v>
      </c>
      <c r="K64" s="240">
        <f>K60+K61-K62-K63</f>
        <v>-82.138125601567552</v>
      </c>
      <c r="L64" s="32"/>
      <c r="M64" s="32"/>
      <c r="N64" s="77"/>
      <c r="O64" s="77"/>
    </row>
    <row r="65" spans="1:15">
      <c r="A65" s="77" t="s">
        <v>28</v>
      </c>
      <c r="C65" s="117">
        <f>'DCF Analysis '!$B$19</f>
        <v>7.5732446601253889E-2</v>
      </c>
      <c r="D65" s="100"/>
      <c r="E65" s="100"/>
      <c r="F65" s="100"/>
      <c r="G65" s="100"/>
      <c r="I65" s="32"/>
      <c r="J65" s="32"/>
      <c r="K65" s="32"/>
      <c r="L65" s="32"/>
      <c r="M65" s="32"/>
      <c r="O65" s="77"/>
    </row>
    <row r="66" spans="1:15">
      <c r="A66" s="77" t="s">
        <v>148</v>
      </c>
      <c r="H66" s="32">
        <v>1</v>
      </c>
      <c r="I66" s="77">
        <v>2</v>
      </c>
      <c r="J66" s="77">
        <v>3</v>
      </c>
      <c r="K66" s="77">
        <v>4</v>
      </c>
      <c r="L66" s="68"/>
      <c r="M66" s="68"/>
      <c r="N66" s="77"/>
      <c r="O66" s="77"/>
    </row>
    <row r="67" spans="1:15">
      <c r="A67" s="77" t="s">
        <v>138</v>
      </c>
      <c r="H67" s="86">
        <f>1/(1+C65)^(H66-0.5)</f>
        <v>0.96415723808846621</v>
      </c>
      <c r="I67" s="401">
        <f>1/(1+C65)^(I66-0.5)</f>
        <v>0.89627977768514244</v>
      </c>
      <c r="J67" s="401">
        <f>1/(1+C65)^(J66-0.5)</f>
        <v>0.83318094617013072</v>
      </c>
      <c r="K67" s="401">
        <f>1/(1+C65)^(K66-0.5)</f>
        <v>0.77452432415006378</v>
      </c>
      <c r="L67" s="32"/>
      <c r="M67" s="32"/>
      <c r="N67" s="77"/>
      <c r="O67" s="77"/>
    </row>
    <row r="68" spans="1:15" ht="15">
      <c r="A68" s="224" t="s">
        <v>147</v>
      </c>
      <c r="B68" s="221"/>
      <c r="C68" s="221"/>
      <c r="D68" s="221"/>
      <c r="E68" s="221"/>
      <c r="F68" s="221"/>
      <c r="G68" s="142"/>
      <c r="H68" s="221">
        <f>H67*H64</f>
        <v>-602.07657674789323</v>
      </c>
      <c r="I68" s="221">
        <f t="shared" ref="I68:K68" si="11">I67*I64</f>
        <v>-91.887343387740358</v>
      </c>
      <c r="J68" s="221">
        <f t="shared" si="11"/>
        <v>-76.48025281285949</v>
      </c>
      <c r="K68" s="221">
        <f t="shared" si="11"/>
        <v>-63.61797621850716</v>
      </c>
      <c r="L68" s="32"/>
      <c r="M68" s="32"/>
      <c r="N68" s="77"/>
      <c r="O68" s="77"/>
    </row>
    <row r="69" spans="1:15">
      <c r="H69" s="77"/>
      <c r="N69" s="77"/>
      <c r="O69" s="77"/>
    </row>
    <row r="70" spans="1:15">
      <c r="H70" s="77"/>
      <c r="N70" s="77"/>
      <c r="O70" s="77"/>
    </row>
    <row r="71" spans="1:15">
      <c r="H71" s="77"/>
      <c r="N71" s="77"/>
      <c r="O71" s="77"/>
    </row>
  </sheetData>
  <mergeCells count="6">
    <mergeCell ref="A49:N49"/>
    <mergeCell ref="P49:U49"/>
    <mergeCell ref="A25:N25"/>
    <mergeCell ref="P25:U25"/>
    <mergeCell ref="A1:N1"/>
    <mergeCell ref="P1:U1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249977111117893"/>
  </sheetPr>
  <dimension ref="A1:N4"/>
  <sheetViews>
    <sheetView workbookViewId="0">
      <selection activeCell="G10" sqref="G10"/>
    </sheetView>
  </sheetViews>
  <sheetFormatPr defaultColWidth="8.85546875" defaultRowHeight="15"/>
  <cols>
    <col min="1" max="1" width="20" bestFit="1" customWidth="1"/>
  </cols>
  <sheetData>
    <row r="1" spans="1:14" s="28" customFormat="1"/>
    <row r="2" spans="1:14">
      <c r="A2" t="str">
        <f>'Scenarios '!A1</f>
        <v>Scenario 1: Base Case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>
      <c r="A3" t="str">
        <f>'Scenarios '!A25</f>
        <v>Scenario 2: Bull Case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t="str">
        <f>'Scenarios '!A49</f>
        <v>Scenario 3: Bear Case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theme="0" tint="-0.249977111117893"/>
    <pageSetUpPr fitToPage="1"/>
  </sheetPr>
  <dimension ref="A1:AC38"/>
  <sheetViews>
    <sheetView showGridLines="0" zoomScale="85" zoomScaleNormal="85" zoomScalePageLayoutView="85" workbookViewId="0">
      <pane ySplit="2" topLeftCell="A3" activePane="bottomLeft" state="frozen"/>
      <selection activeCell="A3" sqref="A3"/>
      <selection pane="bottomLeft" activeCell="C19" sqref="C19"/>
    </sheetView>
  </sheetViews>
  <sheetFormatPr defaultColWidth="9.140625" defaultRowHeight="14.25"/>
  <cols>
    <col min="1" max="1" width="33.85546875" style="77" bestFit="1" customWidth="1"/>
    <col min="2" max="2" width="19.42578125" style="77" customWidth="1"/>
    <col min="3" max="6" width="14.42578125" style="77" bestFit="1" customWidth="1"/>
    <col min="7" max="7" width="14.42578125" style="77" customWidth="1"/>
    <col min="8" max="8" width="10.7109375" style="77" bestFit="1" customWidth="1"/>
    <col min="9" max="12" width="17.85546875" style="77" bestFit="1" customWidth="1"/>
    <col min="13" max="13" width="10.7109375" style="77" bestFit="1" customWidth="1"/>
    <col min="14" max="16384" width="9.140625" style="77"/>
  </cols>
  <sheetData>
    <row r="1" spans="1:29" ht="15">
      <c r="A1" s="54"/>
      <c r="B1" s="54"/>
      <c r="C1" s="589"/>
      <c r="D1" s="589"/>
      <c r="E1" s="589"/>
      <c r="F1" s="589"/>
      <c r="G1" s="191"/>
      <c r="H1" s="115" t="s">
        <v>163</v>
      </c>
      <c r="I1" s="589"/>
      <c r="J1" s="589"/>
      <c r="K1" s="589"/>
      <c r="L1" s="589"/>
      <c r="M1" s="115" t="s">
        <v>163</v>
      </c>
      <c r="N1" s="115"/>
    </row>
    <row r="2" spans="1:29" ht="15">
      <c r="A2" s="50" t="s">
        <v>490</v>
      </c>
      <c r="B2" s="50"/>
      <c r="C2" s="49">
        <v>2010</v>
      </c>
      <c r="D2" s="49">
        <v>2011</v>
      </c>
      <c r="E2" s="49">
        <v>2012</v>
      </c>
      <c r="F2" s="49">
        <v>2013</v>
      </c>
      <c r="G2" s="131" t="s">
        <v>179</v>
      </c>
      <c r="H2" s="114" t="s">
        <v>197</v>
      </c>
      <c r="I2" s="49" t="s">
        <v>162</v>
      </c>
      <c r="J2" s="49" t="s">
        <v>161</v>
      </c>
      <c r="K2" s="49" t="s">
        <v>160</v>
      </c>
      <c r="L2" s="49" t="s">
        <v>159</v>
      </c>
      <c r="M2" s="114" t="s">
        <v>198</v>
      </c>
      <c r="N2" s="114"/>
    </row>
    <row r="3" spans="1:29" ht="15">
      <c r="A3" s="192" t="s">
        <v>157</v>
      </c>
      <c r="B3" s="193"/>
      <c r="C3" s="193">
        <f>'Income Statement'!B8</f>
        <v>18423</v>
      </c>
      <c r="D3" s="193">
        <f>'Income Statement'!C8</f>
        <v>11073</v>
      </c>
      <c r="E3" s="193">
        <f>'Income Statement'!D8</f>
        <v>6813</v>
      </c>
      <c r="F3" s="193">
        <f>'Income Statement'!E8</f>
        <v>3335</v>
      </c>
      <c r="G3" s="193">
        <f>'Income Statement'!F8</f>
        <v>2601</v>
      </c>
      <c r="H3" s="111">
        <f>((G3/C3)^(1/4))-1</f>
        <v>-0.38702184162308451</v>
      </c>
      <c r="I3" s="193">
        <f>'Scenarios '!H4</f>
        <v>2601</v>
      </c>
      <c r="J3" s="193">
        <f>'Scenarios '!I4</f>
        <v>2601</v>
      </c>
      <c r="K3" s="193">
        <f>'Scenarios '!J4</f>
        <v>2601</v>
      </c>
      <c r="L3" s="193">
        <f>'Scenarios '!K4</f>
        <v>2601</v>
      </c>
      <c r="M3" s="111">
        <f>((L3/I3)^(1/3))-1</f>
        <v>0</v>
      </c>
      <c r="N3" s="111"/>
    </row>
    <row r="4" spans="1:29" s="93" customFormat="1">
      <c r="A4" s="93" t="s">
        <v>156</v>
      </c>
      <c r="B4" s="138"/>
      <c r="C4" s="113" t="str">
        <f>IFERROR((C3-#REF!)/#REF!,"")</f>
        <v/>
      </c>
      <c r="D4" s="113">
        <f>IFERROR((D3-C3)/C3,"")</f>
        <v>-0.39895782445855726</v>
      </c>
      <c r="E4" s="113">
        <f>IFERROR((E3-D3)/D3,"")</f>
        <v>-0.38471958818748309</v>
      </c>
      <c r="F4" s="113">
        <f>IFERROR((F3-E3)/E3,"")</f>
        <v>-0.51049464259503885</v>
      </c>
      <c r="G4" s="113">
        <f>IFERROR((G3-F3)/F3,"")</f>
        <v>-0.22008995502248876</v>
      </c>
      <c r="H4" s="57"/>
      <c r="I4" s="113"/>
      <c r="J4" s="113">
        <f>IFERROR((J3-I3)/I3,"")</f>
        <v>0</v>
      </c>
      <c r="K4" s="113">
        <f>IFERROR((K3-J3)/J3,"")</f>
        <v>0</v>
      </c>
      <c r="L4" s="113">
        <f>IFERROR((L3-K3)/K3,"")</f>
        <v>0</v>
      </c>
      <c r="M4" s="57"/>
      <c r="N4" s="57"/>
      <c r="Z4" s="77"/>
      <c r="AA4" s="77"/>
      <c r="AB4" s="77"/>
      <c r="AC4" s="77"/>
    </row>
    <row r="5" spans="1:29">
      <c r="A5" s="77" t="s">
        <v>177</v>
      </c>
      <c r="B5" s="139"/>
      <c r="C5" s="100">
        <f>'Income Statement'!B9</f>
        <v>11848</v>
      </c>
      <c r="D5" s="100">
        <f>'Income Statement'!C9</f>
        <v>7639</v>
      </c>
      <c r="E5" s="100">
        <f>'Income Statement'!D9</f>
        <v>6856</v>
      </c>
      <c r="F5" s="100">
        <f>'Income Statement'!E9</f>
        <v>1731</v>
      </c>
      <c r="G5" s="100">
        <f>'Income Statement'!F9</f>
        <v>1378</v>
      </c>
      <c r="H5" s="111">
        <f>((G5/C5)^(1/4))-1</f>
        <v>-0.4160158728690122</v>
      </c>
      <c r="I5" s="499">
        <f>I3*I6</f>
        <v>2080.8000000000002</v>
      </c>
      <c r="J5" s="499">
        <f>J3*J6</f>
        <v>2028.78</v>
      </c>
      <c r="K5" s="499">
        <f>K3*K6</f>
        <v>1976.76</v>
      </c>
      <c r="L5" s="499">
        <f>L3*L6</f>
        <v>1924.74</v>
      </c>
      <c r="M5" s="111">
        <f>((L5/I5)^(1/3))-1</f>
        <v>-2.565241981267119E-2</v>
      </c>
    </row>
    <row r="6" spans="1:29" s="93" customFormat="1">
      <c r="A6" s="93" t="s">
        <v>71</v>
      </c>
      <c r="B6" s="138"/>
      <c r="C6" s="113">
        <f>C5/C3</f>
        <v>0.64310915703197091</v>
      </c>
      <c r="D6" s="113">
        <f>D5/D3</f>
        <v>0.68987627562539511</v>
      </c>
      <c r="E6" s="113">
        <f>E5/E3</f>
        <v>1.0063114633788346</v>
      </c>
      <c r="F6" s="113">
        <f>F5/F3</f>
        <v>0.51904047976011991</v>
      </c>
      <c r="G6" s="113">
        <f>G5/G3</f>
        <v>0.52979623221837757</v>
      </c>
      <c r="H6" s="57"/>
      <c r="I6" s="113">
        <v>0.8</v>
      </c>
      <c r="J6" s="113">
        <v>0.78</v>
      </c>
      <c r="K6" s="113">
        <v>0.76</v>
      </c>
      <c r="L6" s="113">
        <v>0.74</v>
      </c>
      <c r="M6" s="57"/>
      <c r="N6" s="57"/>
      <c r="Z6" s="77"/>
      <c r="AA6" s="77"/>
      <c r="AB6" s="77"/>
      <c r="AC6" s="77"/>
    </row>
    <row r="7" spans="1:29" ht="15">
      <c r="A7" s="194" t="s">
        <v>107</v>
      </c>
      <c r="B7" s="195"/>
      <c r="C7" s="193">
        <f>SUM(C8:C11)</f>
        <v>1724</v>
      </c>
      <c r="D7" s="193">
        <f>SUM(D8:D11)</f>
        <v>1808</v>
      </c>
      <c r="E7" s="193">
        <f>SUM(E8:E11)</f>
        <v>1195</v>
      </c>
      <c r="F7" s="193">
        <f>SUM(F8:F11)</f>
        <v>676</v>
      </c>
      <c r="G7" s="193">
        <f>SUM(G8:G11)</f>
        <v>342</v>
      </c>
      <c r="H7" s="111">
        <f>((G7/C7)^(1/4))-1</f>
        <v>-0.33262150052890749</v>
      </c>
      <c r="I7" s="193">
        <f>SUM(I8:I11)</f>
        <v>409.42206095791005</v>
      </c>
      <c r="J7" s="193">
        <f>SUM(J8:J11)</f>
        <v>404.06150943396221</v>
      </c>
      <c r="K7" s="193">
        <f>SUM(K8:K11)</f>
        <v>398.70095791001449</v>
      </c>
      <c r="L7" s="193">
        <f>SUM(L8:L11)</f>
        <v>393.34040638606677</v>
      </c>
      <c r="M7" s="111">
        <f>((L7/I7)^(1/3))-1</f>
        <v>-1.3268239432373985E-2</v>
      </c>
    </row>
    <row r="8" spans="1:29">
      <c r="A8" s="146" t="str">
        <f>'Balance Sheet'!B10</f>
        <v>Inventories</v>
      </c>
      <c r="B8" s="140"/>
      <c r="C8" s="46">
        <f>'Balance Sheet'!C10</f>
        <v>1027</v>
      </c>
      <c r="D8" s="46">
        <f>'Balance Sheet'!D10</f>
        <v>603</v>
      </c>
      <c r="E8" s="46">
        <f>'Balance Sheet'!E10</f>
        <v>244</v>
      </c>
      <c r="F8" s="46">
        <f>'Balance Sheet'!F10</f>
        <v>122</v>
      </c>
      <c r="G8" s="46">
        <f>'Balance Sheet'!G10</f>
        <v>142</v>
      </c>
      <c r="H8" s="111">
        <f t="shared" ref="H8:H17" si="0">((G8/C8)^(1/4))-1</f>
        <v>-0.39021115536807616</v>
      </c>
      <c r="I8" s="147">
        <f>I26*I5/365</f>
        <v>214.42206095791002</v>
      </c>
      <c r="J8" s="147">
        <f>J26*J5/365</f>
        <v>209.06150943396224</v>
      </c>
      <c r="K8" s="147">
        <f>K26*K5/365</f>
        <v>203.70095791001452</v>
      </c>
      <c r="L8" s="147">
        <f>L26*L5/365</f>
        <v>198.34040638606677</v>
      </c>
      <c r="M8" s="111">
        <f t="shared" ref="M8:M12" si="1">((L8/I8)^(1/3))-1</f>
        <v>-2.5652419812671079E-2</v>
      </c>
    </row>
    <row r="9" spans="1:29">
      <c r="A9" s="146" t="str">
        <f>'Balance Sheet'!B11</f>
        <v>Income Tax Receivable</v>
      </c>
      <c r="B9" s="140"/>
      <c r="C9" s="46">
        <f>'Balance Sheet'!C11</f>
        <v>135</v>
      </c>
      <c r="D9" s="46">
        <f>'Balance Sheet'!D11</f>
        <v>597</v>
      </c>
      <c r="E9" s="46">
        <f>'Balance Sheet'!E11</f>
        <v>373</v>
      </c>
      <c r="F9" s="46">
        <f>'Balance Sheet'!F11</f>
        <v>169</v>
      </c>
      <c r="G9" s="46">
        <f>'Balance Sheet'!G11</f>
        <v>16</v>
      </c>
      <c r="H9" s="111">
        <f t="shared" si="0"/>
        <v>-0.41325884213773767</v>
      </c>
      <c r="I9" s="147">
        <f>I3*I25/365</f>
        <v>16</v>
      </c>
      <c r="J9" s="147">
        <f>J3*J25/365</f>
        <v>16</v>
      </c>
      <c r="K9" s="147">
        <f>K3*K25/365</f>
        <v>16</v>
      </c>
      <c r="L9" s="147">
        <f>L3*L25/365</f>
        <v>16</v>
      </c>
      <c r="M9" s="111">
        <f t="shared" si="1"/>
        <v>0</v>
      </c>
    </row>
    <row r="10" spans="1:29">
      <c r="A10" s="146" t="str">
        <f>'Balance Sheet'!B12</f>
        <v>Other current assets</v>
      </c>
      <c r="B10" s="140"/>
      <c r="C10" s="46">
        <f>'Balance Sheet'!C12</f>
        <v>365</v>
      </c>
      <c r="D10" s="46">
        <f>'Balance Sheet'!D12</f>
        <v>469</v>
      </c>
      <c r="E10" s="46">
        <f>'Balance Sheet'!E12</f>
        <v>505</v>
      </c>
      <c r="F10" s="46">
        <f>'Balance Sheet'!F12</f>
        <v>375</v>
      </c>
      <c r="G10" s="46">
        <f>'Balance Sheet'!G12</f>
        <v>179</v>
      </c>
      <c r="H10" s="111">
        <f t="shared" si="0"/>
        <v>-0.16316460366907326</v>
      </c>
      <c r="I10" s="147">
        <f>I3*I31</f>
        <v>179</v>
      </c>
      <c r="J10" s="147">
        <f>J3*J31</f>
        <v>179</v>
      </c>
      <c r="K10" s="147">
        <f>K3*K31</f>
        <v>179</v>
      </c>
      <c r="L10" s="147">
        <f>L3*L31</f>
        <v>179</v>
      </c>
      <c r="M10" s="111">
        <f t="shared" si="1"/>
        <v>0</v>
      </c>
    </row>
    <row r="11" spans="1:29">
      <c r="A11" s="146" t="str">
        <f>'Balance Sheet'!B13</f>
        <v>deferrex tax assets</v>
      </c>
      <c r="B11" s="140"/>
      <c r="C11" s="46">
        <f>'Balance Sheet'!C13</f>
        <v>197</v>
      </c>
      <c r="D11" s="46">
        <f>'Balance Sheet'!D13</f>
        <v>139</v>
      </c>
      <c r="E11" s="46">
        <f>'Balance Sheet'!E13</f>
        <v>73</v>
      </c>
      <c r="F11" s="46">
        <f>'Balance Sheet'!F13</f>
        <v>10</v>
      </c>
      <c r="G11" s="46">
        <f>'Balance Sheet'!G13</f>
        <v>5</v>
      </c>
      <c r="H11" s="111"/>
      <c r="I11" s="147">
        <v>0</v>
      </c>
      <c r="J11" s="147">
        <v>0</v>
      </c>
      <c r="K11" s="147">
        <v>0</v>
      </c>
      <c r="L11" s="147">
        <v>0</v>
      </c>
      <c r="M11" s="111"/>
    </row>
    <row r="12" spans="1:29" ht="15">
      <c r="A12" s="194" t="s">
        <v>95</v>
      </c>
      <c r="B12" s="195"/>
      <c r="C12" s="193">
        <f>SUM(C13:C18)</f>
        <v>263</v>
      </c>
      <c r="D12" s="193">
        <f>SUM(D13:D18)</f>
        <v>542</v>
      </c>
      <c r="E12" s="193">
        <f>SUM(E13:E18)</f>
        <v>580</v>
      </c>
      <c r="F12" s="193">
        <f>SUM(F13:F18)</f>
        <v>470</v>
      </c>
      <c r="G12" s="193">
        <f>SUM(G13:G18)</f>
        <v>366</v>
      </c>
      <c r="H12" s="111">
        <f t="shared" si="0"/>
        <v>8.6128811359061253E-2</v>
      </c>
      <c r="I12" s="193">
        <f>SUM(I13:I18)</f>
        <v>-71.839767779390428</v>
      </c>
      <c r="J12" s="193">
        <f>SUM(J13:J18)</f>
        <v>-72.443773584905671</v>
      </c>
      <c r="K12" s="193">
        <f>SUM(K13:K18)</f>
        <v>-73.047779390420899</v>
      </c>
      <c r="L12" s="193">
        <f>SUM(L13:L18)</f>
        <v>-73.651785195936142</v>
      </c>
      <c r="M12" s="111">
        <f t="shared" si="1"/>
        <v>8.3379654809301318E-3</v>
      </c>
    </row>
    <row r="13" spans="1:29" s="93" customFormat="1">
      <c r="A13" s="146" t="str">
        <f>'Balance Sheet'!B37</f>
        <v>deferred revenue</v>
      </c>
      <c r="B13" s="140"/>
      <c r="C13" s="46">
        <f>'Balance Sheet'!C37</f>
        <v>263</v>
      </c>
      <c r="D13" s="46">
        <f>'Balance Sheet'!D37</f>
        <v>542</v>
      </c>
      <c r="E13" s="46">
        <f>'Balance Sheet'!E37</f>
        <v>580</v>
      </c>
      <c r="F13" s="46">
        <f>'Balance Sheet'!F37</f>
        <v>470</v>
      </c>
      <c r="G13" s="46">
        <f>'Balance Sheet'!G37</f>
        <v>366</v>
      </c>
      <c r="H13" s="111">
        <f t="shared" si="0"/>
        <v>8.6128811359061253E-2</v>
      </c>
      <c r="I13" s="147">
        <f>I5*I29/365</f>
        <v>24.160232220609579</v>
      </c>
      <c r="J13" s="147">
        <f>J5*J29/365</f>
        <v>23.556226415094336</v>
      </c>
      <c r="K13" s="147">
        <f>K5*K29/365</f>
        <v>22.952220609579097</v>
      </c>
      <c r="L13" s="147">
        <f>L5*L29/365</f>
        <v>22.348214804063858</v>
      </c>
      <c r="M13" s="111">
        <f t="shared" ref="M13:M19" si="2">((L13/I13)^(1/3))-1</f>
        <v>-2.565241981267119E-2</v>
      </c>
      <c r="N13" s="57"/>
      <c r="Z13" s="77"/>
      <c r="AA13" s="77"/>
      <c r="AB13" s="77"/>
      <c r="AC13" s="77"/>
    </row>
    <row r="14" spans="1:29">
      <c r="A14" s="146">
        <f>'Balance Sheet'!B38</f>
        <v>0</v>
      </c>
      <c r="B14" s="140"/>
      <c r="C14" s="46">
        <f>'Balance Sheet'!C38</f>
        <v>0</v>
      </c>
      <c r="D14" s="46">
        <f>'Balance Sheet'!D38</f>
        <v>0</v>
      </c>
      <c r="E14" s="46">
        <f>'Balance Sheet'!E38</f>
        <v>0</v>
      </c>
      <c r="F14" s="46">
        <f>'Balance Sheet'!F38</f>
        <v>0</v>
      </c>
      <c r="G14" s="46">
        <f>'Balance Sheet'!G38</f>
        <v>0</v>
      </c>
      <c r="H14" s="111" t="e">
        <f t="shared" si="0"/>
        <v>#DIV/0!</v>
      </c>
      <c r="I14" s="147">
        <f t="shared" ref="I14:L18" si="3">I$3*I34</f>
        <v>0</v>
      </c>
      <c r="J14" s="147">
        <f t="shared" si="3"/>
        <v>0</v>
      </c>
      <c r="K14" s="147">
        <f t="shared" si="3"/>
        <v>0</v>
      </c>
      <c r="L14" s="147">
        <f t="shared" si="3"/>
        <v>0</v>
      </c>
      <c r="M14" s="111" t="e">
        <f t="shared" si="2"/>
        <v>#DIV/0!</v>
      </c>
    </row>
    <row r="15" spans="1:29">
      <c r="A15" s="146">
        <f>'Balance Sheet'!B40</f>
        <v>0</v>
      </c>
      <c r="B15" s="140"/>
      <c r="C15" s="46">
        <f>'Balance Sheet'!C40</f>
        <v>0</v>
      </c>
      <c r="D15" s="46">
        <f>'Balance Sheet'!D40</f>
        <v>0</v>
      </c>
      <c r="E15" s="46">
        <f>'Balance Sheet'!E40</f>
        <v>0</v>
      </c>
      <c r="F15" s="46">
        <f>'Balance Sheet'!F40</f>
        <v>0</v>
      </c>
      <c r="G15" s="46">
        <f>'Balance Sheet'!G40</f>
        <v>0</v>
      </c>
      <c r="H15" s="111"/>
      <c r="I15" s="147">
        <v>0</v>
      </c>
      <c r="J15" s="147">
        <v>0</v>
      </c>
      <c r="K15" s="147">
        <v>0</v>
      </c>
      <c r="L15" s="147">
        <v>0</v>
      </c>
      <c r="M15" s="111"/>
    </row>
    <row r="16" spans="1:29">
      <c r="A16" s="146">
        <f>'Balance Sheet'!B41</f>
        <v>0</v>
      </c>
      <c r="B16" s="140"/>
      <c r="C16" s="46">
        <f>'Balance Sheet'!C41</f>
        <v>0</v>
      </c>
      <c r="D16" s="46">
        <f>'Balance Sheet'!D41</f>
        <v>0</v>
      </c>
      <c r="E16" s="46">
        <f>'Balance Sheet'!E41</f>
        <v>0</v>
      </c>
      <c r="F16" s="46">
        <f>'Balance Sheet'!F41</f>
        <v>0</v>
      </c>
      <c r="G16" s="46">
        <f>'Balance Sheet'!G41</f>
        <v>0</v>
      </c>
      <c r="H16" s="111"/>
      <c r="I16" s="147">
        <f t="shared" si="3"/>
        <v>-96</v>
      </c>
      <c r="J16" s="147">
        <f t="shared" si="3"/>
        <v>-96</v>
      </c>
      <c r="K16" s="147">
        <f t="shared" si="3"/>
        <v>-96</v>
      </c>
      <c r="L16" s="147">
        <f t="shared" si="3"/>
        <v>-96</v>
      </c>
      <c r="M16" s="111">
        <f t="shared" si="2"/>
        <v>0</v>
      </c>
    </row>
    <row r="17" spans="1:13">
      <c r="A17" s="146">
        <f>'Balance Sheet'!B42</f>
        <v>0</v>
      </c>
      <c r="B17" s="140"/>
      <c r="C17" s="46">
        <f>'Balance Sheet'!C42</f>
        <v>0</v>
      </c>
      <c r="D17" s="46">
        <f>'Balance Sheet'!D42</f>
        <v>0</v>
      </c>
      <c r="E17" s="46">
        <f>'Balance Sheet'!E42</f>
        <v>0</v>
      </c>
      <c r="F17" s="46">
        <f>'Balance Sheet'!F42</f>
        <v>0</v>
      </c>
      <c r="G17" s="46">
        <f>'Balance Sheet'!G42</f>
        <v>0</v>
      </c>
      <c r="H17" s="111" t="e">
        <f t="shared" si="0"/>
        <v>#DIV/0!</v>
      </c>
      <c r="I17" s="147">
        <f t="shared" si="3"/>
        <v>0</v>
      </c>
      <c r="J17" s="147">
        <f t="shared" si="3"/>
        <v>0</v>
      </c>
      <c r="K17" s="147">
        <f t="shared" si="3"/>
        <v>0</v>
      </c>
      <c r="L17" s="147">
        <f t="shared" si="3"/>
        <v>0</v>
      </c>
      <c r="M17" s="111" t="e">
        <f t="shared" si="2"/>
        <v>#DIV/0!</v>
      </c>
    </row>
    <row r="18" spans="1:13" s="112" customFormat="1">
      <c r="A18" s="146">
        <f>'Balance Sheet'!B43</f>
        <v>0</v>
      </c>
      <c r="B18" s="251"/>
      <c r="C18" s="46">
        <f>'Balance Sheet'!C43</f>
        <v>0</v>
      </c>
      <c r="D18" s="46">
        <f>'Balance Sheet'!D43</f>
        <v>0</v>
      </c>
      <c r="E18" s="46">
        <f>'Balance Sheet'!E43</f>
        <v>0</v>
      </c>
      <c r="F18" s="46">
        <f>'Balance Sheet'!F43</f>
        <v>0</v>
      </c>
      <c r="G18" s="46">
        <f>'Balance Sheet'!G43</f>
        <v>0</v>
      </c>
      <c r="H18" s="111" t="e">
        <f>((G18/C18)^(1/4))-1</f>
        <v>#DIV/0!</v>
      </c>
      <c r="I18" s="253">
        <f t="shared" si="3"/>
        <v>0</v>
      </c>
      <c r="J18" s="253">
        <f t="shared" si="3"/>
        <v>0</v>
      </c>
      <c r="K18" s="253">
        <f t="shared" si="3"/>
        <v>0</v>
      </c>
      <c r="L18" s="253">
        <f t="shared" si="3"/>
        <v>0</v>
      </c>
      <c r="M18" s="252" t="e">
        <f>((L18/I18)^(1/3))-1</f>
        <v>#DIV/0!</v>
      </c>
    </row>
    <row r="19" spans="1:13" ht="15">
      <c r="A19" s="194" t="s">
        <v>72</v>
      </c>
      <c r="B19" s="193"/>
      <c r="C19" s="193">
        <f>C7-C12</f>
        <v>1461</v>
      </c>
      <c r="D19" s="193">
        <f>D7-D12</f>
        <v>1266</v>
      </c>
      <c r="E19" s="193">
        <f>E7-E12</f>
        <v>615</v>
      </c>
      <c r="F19" s="193">
        <f>F7-F12</f>
        <v>206</v>
      </c>
      <c r="G19" s="193">
        <f>G7-G12</f>
        <v>-24</v>
      </c>
      <c r="H19" s="111" t="e">
        <f>((G19/C19)^(1/4))-1</f>
        <v>#NUM!</v>
      </c>
      <c r="I19" s="193">
        <f>I7-I12</f>
        <v>481.26182873730045</v>
      </c>
      <c r="J19" s="193">
        <f>J7-J12</f>
        <v>476.50528301886789</v>
      </c>
      <c r="K19" s="193">
        <f>K7-K12</f>
        <v>471.74873730043538</v>
      </c>
      <c r="L19" s="193">
        <f>L7-L12</f>
        <v>466.99219158200293</v>
      </c>
      <c r="M19" s="111">
        <f t="shared" si="2"/>
        <v>-9.9828133801526109E-3</v>
      </c>
    </row>
    <row r="20" spans="1:13">
      <c r="A20" s="93" t="s">
        <v>71</v>
      </c>
      <c r="B20" s="93"/>
      <c r="C20" s="113">
        <f>C19/C3</f>
        <v>7.9303045106660155E-2</v>
      </c>
      <c r="D20" s="113">
        <f>D19/D3</f>
        <v>0.11433215930642103</v>
      </c>
      <c r="E20" s="113">
        <f>E19/E3</f>
        <v>9.0268604139145753E-2</v>
      </c>
      <c r="F20" s="113">
        <f>F19/F3</f>
        <v>6.1769115442278859E-2</v>
      </c>
      <c r="G20" s="113">
        <f>G19/G3</f>
        <v>-9.22722029988466E-3</v>
      </c>
      <c r="H20" s="57"/>
      <c r="I20" s="113">
        <f>I19/I3</f>
        <v>0.18502953815351805</v>
      </c>
      <c r="J20" s="113">
        <f>J19/J3</f>
        <v>0.18320080085308263</v>
      </c>
      <c r="K20" s="113">
        <f>K19/K3</f>
        <v>0.18137206355264721</v>
      </c>
      <c r="L20" s="113">
        <f>L19/L3</f>
        <v>0.17954332625221181</v>
      </c>
    </row>
    <row r="22" spans="1:13" ht="15">
      <c r="A22" s="222" t="s">
        <v>176</v>
      </c>
      <c r="B22" s="222"/>
      <c r="C22" s="221"/>
      <c r="D22" s="221">
        <f>D19-C19</f>
        <v>-195</v>
      </c>
      <c r="E22" s="221">
        <f>(E19-D19)</f>
        <v>-651</v>
      </c>
      <c r="F22" s="221">
        <f>(F19-E19)</f>
        <v>-409</v>
      </c>
      <c r="G22" s="221">
        <f>(G19-F19)</f>
        <v>-230</v>
      </c>
      <c r="H22" s="111"/>
      <c r="I22" s="221">
        <f>(I19-G19)</f>
        <v>505.26182873730045</v>
      </c>
      <c r="J22" s="221">
        <f>(J19-I19)</f>
        <v>-4.7565457184325624</v>
      </c>
      <c r="K22" s="221">
        <f>(K19-J19)</f>
        <v>-4.7565457184325055</v>
      </c>
      <c r="L22" s="221">
        <f>(L19-K19)</f>
        <v>-4.7565457184324487</v>
      </c>
      <c r="M22" s="111">
        <f>((L22/I22)^(1/3))-1</f>
        <v>-1.2111503125404486</v>
      </c>
    </row>
    <row r="24" spans="1:13" ht="15">
      <c r="A24" s="231" t="s">
        <v>175</v>
      </c>
      <c r="B24" s="231"/>
      <c r="C24" s="230"/>
      <c r="D24" s="230"/>
      <c r="E24" s="230"/>
      <c r="F24" s="230"/>
      <c r="G24" s="230"/>
      <c r="I24" s="230"/>
      <c r="J24" s="230"/>
      <c r="K24" s="230"/>
      <c r="L24" s="230"/>
    </row>
    <row r="25" spans="1:13">
      <c r="A25" s="84" t="s">
        <v>69</v>
      </c>
      <c r="B25" s="84"/>
      <c r="C25" s="85">
        <f>'Balance Sheet'!C85</f>
        <v>2.6746458231558377</v>
      </c>
      <c r="D25" s="85">
        <f>'Balance Sheet'!D85</f>
        <v>19.678948794364672</v>
      </c>
      <c r="E25" s="85">
        <f>'Balance Sheet'!E85</f>
        <v>19.983120504917071</v>
      </c>
      <c r="F25" s="85">
        <f>'Balance Sheet'!F85</f>
        <v>18.496251874062967</v>
      </c>
      <c r="G25" s="85">
        <f>'Balance Sheet'!G85</f>
        <v>2.2452902729719337</v>
      </c>
      <c r="I25" s="85">
        <f t="shared" ref="I25:I32" si="4">G25</f>
        <v>2.2452902729719337</v>
      </c>
      <c r="J25" s="85">
        <f t="shared" ref="J25:L29" si="5">I25</f>
        <v>2.2452902729719337</v>
      </c>
      <c r="K25" s="85">
        <f t="shared" si="5"/>
        <v>2.2452902729719337</v>
      </c>
      <c r="L25" s="85">
        <f t="shared" si="5"/>
        <v>2.2452902729719337</v>
      </c>
    </row>
    <row r="26" spans="1:13">
      <c r="A26" s="84" t="s">
        <v>68</v>
      </c>
      <c r="B26" s="84"/>
      <c r="C26" s="85">
        <f>'Balance Sheet'!C86</f>
        <v>31.63867319378798</v>
      </c>
      <c r="D26" s="85">
        <f>'Balance Sheet'!D86</f>
        <v>28.812017279748659</v>
      </c>
      <c r="E26" s="85">
        <f>'Balance Sheet'!E86</f>
        <v>12.990081680280046</v>
      </c>
      <c r="F26" s="85">
        <f>'Balance Sheet'!F86</f>
        <v>25.725014442518773</v>
      </c>
      <c r="G26" s="85">
        <f>'Balance Sheet'!G86</f>
        <v>37.612481857764877</v>
      </c>
      <c r="I26" s="85">
        <f t="shared" si="4"/>
        <v>37.612481857764877</v>
      </c>
      <c r="J26" s="85">
        <f t="shared" si="5"/>
        <v>37.612481857764877</v>
      </c>
      <c r="K26" s="85">
        <f t="shared" si="5"/>
        <v>37.612481857764877</v>
      </c>
      <c r="L26" s="85">
        <f t="shared" si="5"/>
        <v>37.612481857764877</v>
      </c>
    </row>
    <row r="27" spans="1:13">
      <c r="A27" s="84" t="s">
        <v>174</v>
      </c>
      <c r="B27" s="84"/>
      <c r="C27" s="82">
        <f>C10/C$3</f>
        <v>1.9812191282635835E-2</v>
      </c>
      <c r="D27" s="82">
        <f>D10/D$3</f>
        <v>4.2355278605617268E-2</v>
      </c>
      <c r="E27" s="82">
        <f>E10/E$3</f>
        <v>7.4123000146778223E-2</v>
      </c>
      <c r="F27" s="82">
        <f>F10/F$3</f>
        <v>0.11244377811094453</v>
      </c>
      <c r="G27" s="82">
        <f>G10/G$3</f>
        <v>6.8819684736639755E-2</v>
      </c>
      <c r="I27" s="82">
        <f t="shared" si="4"/>
        <v>6.8819684736639755E-2</v>
      </c>
      <c r="J27" s="82">
        <f t="shared" si="5"/>
        <v>6.8819684736639755E-2</v>
      </c>
      <c r="K27" s="82">
        <f t="shared" si="5"/>
        <v>6.8819684736639755E-2</v>
      </c>
      <c r="L27" s="82">
        <f t="shared" si="5"/>
        <v>6.8819684736639755E-2</v>
      </c>
    </row>
    <row r="28" spans="1:13">
      <c r="A28" s="84" t="s">
        <v>67</v>
      </c>
      <c r="B28" s="84"/>
      <c r="C28" s="85">
        <f>C5/C9</f>
        <v>87.762962962962959</v>
      </c>
      <c r="D28" s="85">
        <f>D5/D9</f>
        <v>12.795644891122278</v>
      </c>
      <c r="E28" s="85">
        <f>E5/E9</f>
        <v>18.380697050938338</v>
      </c>
      <c r="F28" s="85">
        <f>F5/F9</f>
        <v>10.242603550295858</v>
      </c>
      <c r="G28" s="85">
        <f>G5/G9</f>
        <v>86.125</v>
      </c>
      <c r="I28" s="85">
        <f t="shared" si="4"/>
        <v>86.125</v>
      </c>
      <c r="J28" s="85">
        <f t="shared" si="5"/>
        <v>86.125</v>
      </c>
      <c r="K28" s="85">
        <f t="shared" si="5"/>
        <v>86.125</v>
      </c>
      <c r="L28" s="85">
        <f t="shared" si="5"/>
        <v>86.125</v>
      </c>
    </row>
    <row r="29" spans="1:13">
      <c r="A29" s="84" t="s">
        <v>66</v>
      </c>
      <c r="B29" s="84"/>
      <c r="C29" s="85">
        <f>('Balance Sheet'!C11/'Change in NWC'!C5)*365</f>
        <v>4.1589297771775824</v>
      </c>
      <c r="D29" s="85">
        <f>('Balance Sheet'!D11/'Change in NWC'!D5)*365</f>
        <v>28.525330540646685</v>
      </c>
      <c r="E29" s="85">
        <f>('Balance Sheet'!E11/'Change in NWC'!E5)*365</f>
        <v>19.857788798133022</v>
      </c>
      <c r="F29" s="85">
        <f>('Balance Sheet'!F11/'Change in NWC'!F5)*365</f>
        <v>35.635470826112076</v>
      </c>
      <c r="G29" s="85">
        <f>('Balance Sheet'!G11/'Change in NWC'!G5)*365</f>
        <v>4.2380261248185773</v>
      </c>
      <c r="I29" s="85">
        <f t="shared" si="4"/>
        <v>4.2380261248185773</v>
      </c>
      <c r="J29" s="85">
        <f t="shared" si="5"/>
        <v>4.2380261248185773</v>
      </c>
      <c r="K29" s="85">
        <f t="shared" si="5"/>
        <v>4.2380261248185773</v>
      </c>
      <c r="L29" s="85">
        <f t="shared" si="5"/>
        <v>4.2380261248185773</v>
      </c>
    </row>
    <row r="30" spans="1:13">
      <c r="A30" s="84" t="s">
        <v>300</v>
      </c>
      <c r="B30" s="84"/>
      <c r="C30" s="82">
        <f t="shared" ref="C30:G32" si="6">(C9/C$3)</f>
        <v>7.3277967757694185E-3</v>
      </c>
      <c r="D30" s="82">
        <f t="shared" si="6"/>
        <v>5.3914928203738825E-2</v>
      </c>
      <c r="E30" s="82">
        <f t="shared" si="6"/>
        <v>5.4748275355937182E-2</v>
      </c>
      <c r="F30" s="82">
        <f t="shared" si="6"/>
        <v>5.0674662668665667E-2</v>
      </c>
      <c r="G30" s="82">
        <f t="shared" si="6"/>
        <v>6.1514801999231067E-3</v>
      </c>
      <c r="I30" s="82">
        <f t="shared" si="4"/>
        <v>6.1514801999231067E-3</v>
      </c>
      <c r="J30" s="82">
        <f t="shared" ref="J30:K32" si="7">I30</f>
        <v>6.1514801999231067E-3</v>
      </c>
      <c r="K30" s="82">
        <f t="shared" si="7"/>
        <v>6.1514801999231067E-3</v>
      </c>
      <c r="L30" s="82">
        <f t="shared" ref="L30:L32" si="8">K30</f>
        <v>6.1514801999231067E-3</v>
      </c>
    </row>
    <row r="31" spans="1:13">
      <c r="A31" s="84" t="s">
        <v>299</v>
      </c>
      <c r="B31" s="84"/>
      <c r="C31" s="82">
        <f t="shared" si="6"/>
        <v>1.9812191282635835E-2</v>
      </c>
      <c r="D31" s="82">
        <f t="shared" si="6"/>
        <v>4.2355278605617268E-2</v>
      </c>
      <c r="E31" s="82">
        <f t="shared" si="6"/>
        <v>7.4123000146778223E-2</v>
      </c>
      <c r="F31" s="82">
        <f t="shared" si="6"/>
        <v>0.11244377811094453</v>
      </c>
      <c r="G31" s="82">
        <f t="shared" si="6"/>
        <v>6.8819684736639755E-2</v>
      </c>
      <c r="I31" s="82">
        <f t="shared" si="4"/>
        <v>6.8819684736639755E-2</v>
      </c>
      <c r="J31" s="82">
        <f t="shared" si="7"/>
        <v>6.8819684736639755E-2</v>
      </c>
      <c r="K31" s="82">
        <f t="shared" si="7"/>
        <v>6.8819684736639755E-2</v>
      </c>
      <c r="L31" s="82">
        <f t="shared" si="8"/>
        <v>6.8819684736639755E-2</v>
      </c>
    </row>
    <row r="32" spans="1:13">
      <c r="A32" s="84" t="s">
        <v>298</v>
      </c>
      <c r="B32" s="84"/>
      <c r="C32" s="82">
        <f t="shared" si="6"/>
        <v>1.0693155295011671E-2</v>
      </c>
      <c r="D32" s="82">
        <f t="shared" si="6"/>
        <v>1.2553056985460128E-2</v>
      </c>
      <c r="E32" s="82">
        <f t="shared" si="6"/>
        <v>1.0714809922207545E-2</v>
      </c>
      <c r="F32" s="82">
        <f t="shared" si="6"/>
        <v>2.9985007496251873E-3</v>
      </c>
      <c r="G32" s="82">
        <f t="shared" si="6"/>
        <v>1.9223375624759708E-3</v>
      </c>
      <c r="I32" s="82">
        <f t="shared" si="4"/>
        <v>1.9223375624759708E-3</v>
      </c>
      <c r="J32" s="82">
        <f t="shared" si="7"/>
        <v>1.9223375624759708E-3</v>
      </c>
      <c r="K32" s="82">
        <f t="shared" si="7"/>
        <v>1.9223375624759708E-3</v>
      </c>
      <c r="L32" s="82">
        <f t="shared" si="8"/>
        <v>1.9223375624759708E-3</v>
      </c>
    </row>
    <row r="33" spans="1:12">
      <c r="A33" s="175" t="s">
        <v>92</v>
      </c>
      <c r="B33" s="84"/>
      <c r="C33" s="82"/>
      <c r="D33" s="82"/>
      <c r="E33" s="82"/>
      <c r="F33" s="82"/>
      <c r="G33" s="82"/>
      <c r="I33" s="82"/>
      <c r="J33" s="82"/>
      <c r="K33" s="82"/>
      <c r="L33" s="82"/>
    </row>
    <row r="34" spans="1:12">
      <c r="A34" s="175" t="s">
        <v>297</v>
      </c>
      <c r="B34" s="84"/>
      <c r="C34" s="82">
        <f t="shared" ref="C34:G35" si="9">(C14/C$3)</f>
        <v>0</v>
      </c>
      <c r="D34" s="82">
        <f t="shared" si="9"/>
        <v>0</v>
      </c>
      <c r="E34" s="82">
        <f t="shared" si="9"/>
        <v>0</v>
      </c>
      <c r="F34" s="82">
        <f t="shared" si="9"/>
        <v>0</v>
      </c>
      <c r="G34" s="82">
        <f t="shared" si="9"/>
        <v>0</v>
      </c>
      <c r="I34" s="82">
        <f>G34</f>
        <v>0</v>
      </c>
      <c r="J34" s="82">
        <f t="shared" ref="J34:L38" si="10">I34</f>
        <v>0</v>
      </c>
      <c r="K34" s="82">
        <f t="shared" si="10"/>
        <v>0</v>
      </c>
      <c r="L34" s="82">
        <f t="shared" si="10"/>
        <v>0</v>
      </c>
    </row>
    <row r="35" spans="1:12">
      <c r="A35" s="175" t="s">
        <v>301</v>
      </c>
      <c r="B35" s="84"/>
      <c r="C35" s="82">
        <f t="shared" si="9"/>
        <v>0</v>
      </c>
      <c r="D35" s="82">
        <f t="shared" si="9"/>
        <v>0</v>
      </c>
      <c r="E35" s="82">
        <f t="shared" si="9"/>
        <v>0</v>
      </c>
      <c r="F35" s="82">
        <f t="shared" si="9"/>
        <v>0</v>
      </c>
      <c r="G35" s="82">
        <f t="shared" si="9"/>
        <v>0</v>
      </c>
      <c r="I35" s="82">
        <f>G35</f>
        <v>0</v>
      </c>
      <c r="J35" s="82">
        <f t="shared" si="10"/>
        <v>0</v>
      </c>
      <c r="K35" s="82">
        <f t="shared" si="10"/>
        <v>0</v>
      </c>
      <c r="L35" s="82">
        <f t="shared" si="10"/>
        <v>0</v>
      </c>
    </row>
    <row r="36" spans="1:12">
      <c r="A36" s="84" t="s">
        <v>212</v>
      </c>
      <c r="B36" s="84"/>
      <c r="C36" s="82">
        <f>-'Income Statement'!B33/'Change in NWC'!C3</f>
        <v>1.8835151712533246E-2</v>
      </c>
      <c r="D36" s="82">
        <f>-'Income Statement'!C33/'Change in NWC'!D3</f>
        <v>-5.3463379391312203E-2</v>
      </c>
      <c r="E36" s="82">
        <f>-'Income Statement'!D33/'Change in NWC'!E3</f>
        <v>-0.19242624394539851</v>
      </c>
      <c r="F36" s="82">
        <f>-'Income Statement'!E33/'Change in NWC'!F3</f>
        <v>-2.4287856071964018E-2</v>
      </c>
      <c r="G36" s="82">
        <f>-'Income Statement'!F33/'Change in NWC'!G3</f>
        <v>-3.690888119953864E-2</v>
      </c>
      <c r="I36" s="82">
        <f>G36</f>
        <v>-3.690888119953864E-2</v>
      </c>
      <c r="J36" s="82">
        <f t="shared" si="10"/>
        <v>-3.690888119953864E-2</v>
      </c>
      <c r="K36" s="82">
        <f t="shared" si="10"/>
        <v>-3.690888119953864E-2</v>
      </c>
      <c r="L36" s="82">
        <f t="shared" si="10"/>
        <v>-3.690888119953864E-2</v>
      </c>
    </row>
    <row r="37" spans="1:12">
      <c r="A37" s="175" t="s">
        <v>296</v>
      </c>
      <c r="B37" s="84"/>
      <c r="C37" s="82">
        <f>(C17/C$3)</f>
        <v>0</v>
      </c>
      <c r="D37" s="82">
        <f>(D17/D$3)</f>
        <v>0</v>
      </c>
      <c r="E37" s="82">
        <f>(E17/E$3)</f>
        <v>0</v>
      </c>
      <c r="F37" s="82">
        <f>(F17/F$3)</f>
        <v>0</v>
      </c>
      <c r="G37" s="82">
        <f>(G17/G$3)</f>
        <v>0</v>
      </c>
      <c r="I37" s="82">
        <f>G37</f>
        <v>0</v>
      </c>
      <c r="J37" s="82">
        <f t="shared" si="10"/>
        <v>0</v>
      </c>
      <c r="K37" s="82">
        <f t="shared" si="10"/>
        <v>0</v>
      </c>
      <c r="L37" s="82">
        <f t="shared" si="10"/>
        <v>0</v>
      </c>
    </row>
    <row r="38" spans="1:12">
      <c r="A38" s="84" t="s">
        <v>173</v>
      </c>
      <c r="B38" s="84"/>
      <c r="C38" s="82">
        <f>C18/C$3</f>
        <v>0</v>
      </c>
      <c r="D38" s="82">
        <f>D18/D$3</f>
        <v>0</v>
      </c>
      <c r="E38" s="82">
        <f>E18/E$3</f>
        <v>0</v>
      </c>
      <c r="F38" s="82">
        <f>F18/F$3</f>
        <v>0</v>
      </c>
      <c r="G38" s="82">
        <f>G18/G$3</f>
        <v>0</v>
      </c>
      <c r="I38" s="82">
        <f>G38</f>
        <v>0</v>
      </c>
      <c r="J38" s="82">
        <f t="shared" si="10"/>
        <v>0</v>
      </c>
      <c r="K38" s="82">
        <f t="shared" si="10"/>
        <v>0</v>
      </c>
      <c r="L38" s="82">
        <f t="shared" si="10"/>
        <v>0</v>
      </c>
    </row>
  </sheetData>
  <mergeCells count="2">
    <mergeCell ref="C1:F1"/>
    <mergeCell ref="I1:L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theme="0" tint="-0.249977111117893"/>
    <pageSetUpPr fitToPage="1"/>
  </sheetPr>
  <dimension ref="A3:J68"/>
  <sheetViews>
    <sheetView showGridLines="0" view="pageBreakPreview" zoomScale="85" zoomScaleNormal="85" zoomScaleSheetLayoutView="85" zoomScalePageLayoutView="85" workbookViewId="0">
      <pane xSplit="1" ySplit="7" topLeftCell="B20" activePane="bottomRight" state="frozen"/>
      <selection activeCell="V35" sqref="V35"/>
      <selection pane="topRight" activeCell="V35" sqref="V35"/>
      <selection pane="bottomLeft" activeCell="V35" sqref="V35"/>
      <selection pane="bottomRight" activeCell="L9" sqref="L9"/>
    </sheetView>
  </sheetViews>
  <sheetFormatPr defaultColWidth="9.140625" defaultRowHeight="14.25" outlineLevelCol="1"/>
  <cols>
    <col min="1" max="1" width="57.42578125" style="32" customWidth="1"/>
    <col min="2" max="4" width="14.42578125" style="32" bestFit="1" customWidth="1"/>
    <col min="5" max="5" width="16.42578125" style="32" bestFit="1" customWidth="1"/>
    <col min="6" max="6" width="13.42578125" style="32" bestFit="1" customWidth="1"/>
    <col min="7" max="7" width="9.140625" style="32"/>
    <col min="8" max="8" width="13.42578125" style="32" customWidth="1" outlineLevel="1"/>
    <col min="9" max="9" width="12.28515625" style="32" customWidth="1" outlineLevel="1"/>
    <col min="10" max="16384" width="9.140625" style="32"/>
  </cols>
  <sheetData>
    <row r="3" spans="1:10" ht="19.5">
      <c r="A3" s="608" t="s">
        <v>594</v>
      </c>
    </row>
    <row r="4" spans="1:10">
      <c r="A4" s="605" t="s">
        <v>597</v>
      </c>
    </row>
    <row r="5" spans="1:10">
      <c r="A5" s="606" t="s">
        <v>595</v>
      </c>
    </row>
    <row r="7" spans="1:10" ht="15">
      <c r="A7" s="607" t="s">
        <v>596</v>
      </c>
      <c r="B7" s="49">
        <v>2012</v>
      </c>
      <c r="C7" s="49">
        <v>2013</v>
      </c>
      <c r="D7" s="49">
        <v>2014</v>
      </c>
      <c r="E7" s="49">
        <v>2015</v>
      </c>
      <c r="F7" s="121" t="s">
        <v>179</v>
      </c>
      <c r="H7" s="32" t="s">
        <v>581</v>
      </c>
      <c r="I7" s="32" t="s">
        <v>181</v>
      </c>
    </row>
    <row r="8" spans="1:10" ht="15">
      <c r="A8" s="192" t="s">
        <v>65</v>
      </c>
      <c r="B8" s="39">
        <v>18423</v>
      </c>
      <c r="C8" s="39">
        <v>11073</v>
      </c>
      <c r="D8" s="39">
        <v>6813</v>
      </c>
      <c r="E8" s="46">
        <v>3335</v>
      </c>
      <c r="F8" s="33">
        <f>H8+(E8-I8)</f>
        <v>2601</v>
      </c>
      <c r="H8" s="33">
        <v>1148</v>
      </c>
      <c r="I8" s="33">
        <v>1882</v>
      </c>
    </row>
    <row r="9" spans="1:10">
      <c r="A9" s="40" t="s">
        <v>64</v>
      </c>
      <c r="B9" s="46">
        <v>11848</v>
      </c>
      <c r="C9" s="46">
        <v>7639</v>
      </c>
      <c r="D9" s="46">
        <v>6856</v>
      </c>
      <c r="E9" s="46">
        <v>1731</v>
      </c>
      <c r="F9" s="33">
        <f>H9+(E9-I9)</f>
        <v>1378</v>
      </c>
      <c r="H9" s="33">
        <v>653</v>
      </c>
      <c r="I9" s="33">
        <v>1006</v>
      </c>
    </row>
    <row r="10" spans="1:10" ht="15">
      <c r="A10" s="192" t="s">
        <v>63</v>
      </c>
      <c r="B10" s="528">
        <f>B8-B9</f>
        <v>6575</v>
      </c>
      <c r="C10" s="528">
        <f>C8-C9</f>
        <v>3434</v>
      </c>
      <c r="D10" s="528">
        <f>D8-D9</f>
        <v>-43</v>
      </c>
      <c r="E10" s="528">
        <f>E8-E9</f>
        <v>1604</v>
      </c>
      <c r="F10" s="552">
        <f>H10+(E10-I10)</f>
        <v>1223</v>
      </c>
      <c r="H10" s="33">
        <f>H8-H9</f>
        <v>495</v>
      </c>
      <c r="I10" s="33">
        <f>I8-I9</f>
        <v>876</v>
      </c>
      <c r="J10" s="74"/>
    </row>
    <row r="11" spans="1:10">
      <c r="A11" s="45" t="s">
        <v>54</v>
      </c>
      <c r="B11" s="41">
        <f>B10/B$8</f>
        <v>0.35689084296802909</v>
      </c>
      <c r="C11" s="41">
        <f>C10/C$8</f>
        <v>0.31012372437460489</v>
      </c>
      <c r="D11" s="41">
        <f>D10/D$8</f>
        <v>-6.3114633788345807E-3</v>
      </c>
      <c r="E11" s="48">
        <f>E10/E$8</f>
        <v>0.48095952023988003</v>
      </c>
      <c r="F11" s="48">
        <f>F10/F$8</f>
        <v>0.47020376778162243</v>
      </c>
      <c r="H11" s="33"/>
      <c r="I11" s="33"/>
    </row>
    <row r="12" spans="1:10" ht="15">
      <c r="A12" s="36"/>
      <c r="B12" s="42"/>
      <c r="C12" s="42"/>
      <c r="D12" s="42"/>
      <c r="E12" s="47"/>
      <c r="H12" s="33"/>
      <c r="I12" s="33"/>
    </row>
    <row r="13" spans="1:10" ht="15">
      <c r="A13" s="192" t="s">
        <v>62</v>
      </c>
      <c r="B13" s="193">
        <f>B25+'Cash Flow Statement'!C8</f>
        <v>3020</v>
      </c>
      <c r="C13" s="193">
        <f>C25+'Cash Flow Statement'!D8</f>
        <v>683</v>
      </c>
      <c r="D13" s="193">
        <f>D25+'Cash Flow Statement'!E8</f>
        <v>-5516</v>
      </c>
      <c r="E13" s="193">
        <f>E25+'Cash Flow Statement'!F8</f>
        <v>351</v>
      </c>
      <c r="F13" s="193">
        <f>F25+'Cash Flow Statement'!G8</f>
        <v>86</v>
      </c>
      <c r="H13" s="33"/>
      <c r="I13" s="33"/>
    </row>
    <row r="14" spans="1:10">
      <c r="A14" s="45" t="s">
        <v>54</v>
      </c>
      <c r="B14" s="41">
        <f>B13/B$8</f>
        <v>0.16392552787276773</v>
      </c>
      <c r="C14" s="41">
        <f>C13/C$8</f>
        <v>6.1681567777476742E-2</v>
      </c>
      <c r="D14" s="41">
        <f>D13/D$8</f>
        <v>-0.8096286511081755</v>
      </c>
      <c r="E14" s="48">
        <f>E13/E$8</f>
        <v>0.10524737631184408</v>
      </c>
      <c r="H14" s="33"/>
      <c r="I14" s="33"/>
    </row>
    <row r="15" spans="1:10" ht="15">
      <c r="A15" s="36"/>
      <c r="B15" s="42"/>
      <c r="C15" s="42"/>
      <c r="D15" s="42"/>
      <c r="E15" s="47"/>
      <c r="H15" s="33"/>
      <c r="I15" s="33"/>
    </row>
    <row r="16" spans="1:10">
      <c r="A16" s="40" t="s">
        <v>178</v>
      </c>
      <c r="B16" s="39">
        <v>-1556</v>
      </c>
      <c r="C16" s="39">
        <v>-1509</v>
      </c>
      <c r="D16" s="39">
        <v>-1286</v>
      </c>
      <c r="E16" s="46">
        <v>-711</v>
      </c>
      <c r="F16" s="33">
        <f>H16+(E16-I16)</f>
        <v>-549</v>
      </c>
      <c r="H16" s="33">
        <v>-261</v>
      </c>
      <c r="I16" s="33">
        <v>-423</v>
      </c>
    </row>
    <row r="17" spans="1:9">
      <c r="A17" s="40" t="s">
        <v>557</v>
      </c>
      <c r="B17" s="39">
        <v>-2600</v>
      </c>
      <c r="C17" s="39">
        <v>-2111</v>
      </c>
      <c r="D17" s="39">
        <v>-2103</v>
      </c>
      <c r="E17" s="46">
        <v>-938</v>
      </c>
      <c r="F17" s="33">
        <f>H17+(E17-I17)</f>
        <v>-708</v>
      </c>
      <c r="H17" s="33">
        <v>-365</v>
      </c>
      <c r="I17" s="33">
        <v>-595</v>
      </c>
    </row>
    <row r="18" spans="1:9">
      <c r="A18" s="40" t="s">
        <v>532</v>
      </c>
      <c r="B18" s="39">
        <v>-567</v>
      </c>
      <c r="C18" s="39">
        <v>-714</v>
      </c>
      <c r="D18" s="39">
        <v>-606</v>
      </c>
      <c r="E18" s="46">
        <v>-298</v>
      </c>
      <c r="F18" s="33">
        <f>H18+(E18-I18)</f>
        <v>-274</v>
      </c>
      <c r="H18" s="33">
        <v>-132</v>
      </c>
      <c r="I18" s="33">
        <v>-156</v>
      </c>
    </row>
    <row r="19" spans="1:9">
      <c r="A19" s="40" t="s">
        <v>558</v>
      </c>
      <c r="B19" s="39">
        <v>-355</v>
      </c>
      <c r="C19" s="39">
        <v>-335</v>
      </c>
      <c r="D19" s="39">
        <v>-2748</v>
      </c>
      <c r="E19" s="46"/>
      <c r="F19" s="33">
        <f>H19+(E19-I19)</f>
        <v>-265</v>
      </c>
      <c r="H19" s="33">
        <v>-385</v>
      </c>
      <c r="I19" s="33">
        <v>-120</v>
      </c>
    </row>
    <row r="20" spans="1:9">
      <c r="A20" s="40" t="s">
        <v>178</v>
      </c>
      <c r="B20" s="39"/>
      <c r="C20" s="39"/>
      <c r="D20" s="39"/>
      <c r="E20" s="46"/>
      <c r="F20" s="33"/>
      <c r="H20" s="33"/>
      <c r="I20" s="33"/>
    </row>
    <row r="21" spans="1:9">
      <c r="A21" s="40"/>
      <c r="B21" s="39"/>
      <c r="C21" s="39"/>
      <c r="D21" s="39"/>
      <c r="E21" s="46"/>
      <c r="F21" s="33"/>
      <c r="H21" s="33"/>
      <c r="I21" s="33"/>
    </row>
    <row r="22" spans="1:9">
      <c r="A22" s="40"/>
      <c r="B22" s="39"/>
      <c r="C22" s="39"/>
      <c r="D22" s="39"/>
      <c r="E22" s="46"/>
      <c r="F22" s="33"/>
      <c r="H22" s="33"/>
      <c r="I22" s="33"/>
    </row>
    <row r="23" spans="1:9">
      <c r="A23" s="40"/>
      <c r="B23" s="39"/>
      <c r="C23" s="39"/>
      <c r="D23" s="39"/>
      <c r="E23" s="46"/>
      <c r="F23" s="33">
        <f t="shared" ref="F23:F24" si="0">H23+I23</f>
        <v>0</v>
      </c>
      <c r="H23" s="33"/>
      <c r="I23" s="33"/>
    </row>
    <row r="24" spans="1:9">
      <c r="A24" s="40"/>
      <c r="B24" s="39"/>
      <c r="C24" s="39"/>
      <c r="D24" s="39"/>
      <c r="E24" s="46"/>
      <c r="F24" s="33">
        <f t="shared" si="0"/>
        <v>0</v>
      </c>
      <c r="H24" s="33">
        <v>0</v>
      </c>
      <c r="I24" s="33"/>
    </row>
    <row r="25" spans="1:9" ht="15">
      <c r="A25" s="192" t="s">
        <v>61</v>
      </c>
      <c r="B25" s="193">
        <f t="shared" ref="B25:F25" si="1">B10+SUM(B16:B24)</f>
        <v>1497</v>
      </c>
      <c r="C25" s="193">
        <f t="shared" si="1"/>
        <v>-1235</v>
      </c>
      <c r="D25" s="193">
        <f t="shared" si="1"/>
        <v>-6786</v>
      </c>
      <c r="E25" s="193">
        <f t="shared" si="1"/>
        <v>-343</v>
      </c>
      <c r="F25" s="193">
        <f t="shared" si="1"/>
        <v>-573</v>
      </c>
      <c r="H25" s="33">
        <f>SUM(H16:H24)</f>
        <v>-1143</v>
      </c>
      <c r="I25" s="33">
        <f>SUM(I16:I24)</f>
        <v>-1294</v>
      </c>
    </row>
    <row r="26" spans="1:9">
      <c r="A26" s="45" t="s">
        <v>54</v>
      </c>
      <c r="B26" s="41">
        <f>B25/B$8</f>
        <v>8.1257124246865334E-2</v>
      </c>
      <c r="C26" s="41">
        <f>C25/C$8</f>
        <v>-0.11153255666937596</v>
      </c>
      <c r="D26" s="41">
        <f>D25/D$8</f>
        <v>-0.99603698811096431</v>
      </c>
      <c r="E26" s="48">
        <f>E25/E$8</f>
        <v>-0.10284857571214392</v>
      </c>
      <c r="F26" s="48">
        <f>F25/F$8</f>
        <v>-0.22029988465974626</v>
      </c>
      <c r="H26" s="33"/>
      <c r="I26" s="33"/>
    </row>
    <row r="27" spans="1:9" ht="15">
      <c r="A27" s="36"/>
      <c r="B27" s="42"/>
      <c r="C27" s="42"/>
      <c r="D27" s="42"/>
      <c r="E27" s="47"/>
      <c r="H27" s="33"/>
      <c r="I27" s="33"/>
    </row>
    <row r="28" spans="1:9" ht="15">
      <c r="A28" s="36" t="s">
        <v>570</v>
      </c>
      <c r="B28" s="39">
        <v>21</v>
      </c>
      <c r="C28" s="39">
        <v>15</v>
      </c>
      <c r="D28" s="39">
        <v>-21</v>
      </c>
      <c r="E28" s="46">
        <v>38</v>
      </c>
      <c r="F28" s="33">
        <f>H28+(E28-I28)</f>
        <v>56</v>
      </c>
      <c r="H28" s="33">
        <v>-28</v>
      </c>
      <c r="I28" s="33">
        <v>-46</v>
      </c>
    </row>
    <row r="29" spans="1:9">
      <c r="A29" s="40"/>
      <c r="B29" s="39"/>
      <c r="C29" s="39"/>
      <c r="D29" s="39"/>
      <c r="E29" s="46"/>
      <c r="F29" s="33"/>
      <c r="H29" s="33">
        <v>-144</v>
      </c>
      <c r="I29" s="33"/>
    </row>
    <row r="30" spans="1:9">
      <c r="A30" s="40"/>
      <c r="B30" s="39"/>
      <c r="C30" s="39"/>
      <c r="D30" s="39"/>
      <c r="E30" s="46"/>
      <c r="H30" s="33"/>
      <c r="I30" s="33"/>
    </row>
    <row r="31" spans="1:9" ht="15">
      <c r="A31" s="192" t="s">
        <v>60</v>
      </c>
      <c r="B31" s="193">
        <f>B25+B28+B29</f>
        <v>1518</v>
      </c>
      <c r="C31" s="193">
        <f>C25+C28+C29</f>
        <v>-1220</v>
      </c>
      <c r="D31" s="193">
        <f>D25+D28+D29</f>
        <v>-6807</v>
      </c>
      <c r="E31" s="528">
        <f>E25+E28+E29</f>
        <v>-305</v>
      </c>
      <c r="F31" s="528">
        <f>F25+F28+F29</f>
        <v>-517</v>
      </c>
      <c r="H31" s="33">
        <v>203</v>
      </c>
      <c r="I31" s="33"/>
    </row>
    <row r="32" spans="1:9">
      <c r="A32" s="40"/>
      <c r="B32" s="39"/>
      <c r="C32" s="39"/>
      <c r="D32" s="39"/>
      <c r="E32" s="46"/>
      <c r="H32" s="33"/>
      <c r="I32" s="33"/>
    </row>
    <row r="33" spans="1:9">
      <c r="A33" s="40" t="s">
        <v>571</v>
      </c>
      <c r="B33" s="39">
        <v>-347</v>
      </c>
      <c r="C33" s="39">
        <v>592</v>
      </c>
      <c r="D33" s="39">
        <v>1311</v>
      </c>
      <c r="E33" s="39">
        <v>81</v>
      </c>
      <c r="F33" s="33">
        <f>H33+(E33-I33)</f>
        <v>96</v>
      </c>
      <c r="H33" s="33">
        <v>-25</v>
      </c>
      <c r="I33" s="33">
        <v>-40</v>
      </c>
    </row>
    <row r="34" spans="1:9">
      <c r="A34" s="40" t="s">
        <v>58</v>
      </c>
      <c r="B34" s="39">
        <v>-7</v>
      </c>
      <c r="C34" s="39">
        <v>-18</v>
      </c>
      <c r="D34" s="39"/>
      <c r="E34" s="39"/>
      <c r="F34" s="33"/>
      <c r="H34" s="33"/>
      <c r="I34" s="33"/>
    </row>
    <row r="35" spans="1:9">
      <c r="A35" s="40"/>
      <c r="B35" s="39"/>
      <c r="C35" s="39"/>
      <c r="D35" s="39"/>
      <c r="E35" s="39"/>
      <c r="H35" s="33"/>
      <c r="I35" s="33"/>
    </row>
    <row r="36" spans="1:9" ht="15">
      <c r="A36" s="192" t="s">
        <v>57</v>
      </c>
      <c r="B36" s="193">
        <f>B31+B33+B34</f>
        <v>1164</v>
      </c>
      <c r="C36" s="193">
        <f>C31+C33+C34</f>
        <v>-646</v>
      </c>
      <c r="D36" s="193">
        <f>D31+D33+D34</f>
        <v>-5496</v>
      </c>
      <c r="E36" s="193">
        <f>E31+E33+E34</f>
        <v>-224</v>
      </c>
      <c r="F36" s="528">
        <f>F31+F33+F34</f>
        <v>-421</v>
      </c>
      <c r="H36" s="33">
        <v>118</v>
      </c>
      <c r="I36" s="33"/>
    </row>
    <row r="37" spans="1:9">
      <c r="A37" s="40" t="s">
        <v>56</v>
      </c>
      <c r="B37" s="39"/>
      <c r="C37" s="39"/>
      <c r="D37" s="39"/>
      <c r="E37" s="39"/>
      <c r="F37" s="33"/>
      <c r="H37" s="33">
        <v>9</v>
      </c>
      <c r="I37" s="33"/>
    </row>
    <row r="38" spans="1:9" ht="15">
      <c r="A38" s="40"/>
      <c r="B38" s="40"/>
      <c r="C38" s="40"/>
      <c r="D38" s="40"/>
      <c r="E38" s="42"/>
      <c r="H38" s="33"/>
      <c r="I38" s="33"/>
    </row>
    <row r="39" spans="1:9" ht="15">
      <c r="A39" s="529" t="s">
        <v>55</v>
      </c>
      <c r="B39" s="528">
        <f>B36-B37</f>
        <v>1164</v>
      </c>
      <c r="C39" s="528">
        <f>C36-C37</f>
        <v>-646</v>
      </c>
      <c r="D39" s="528">
        <f>D36-D37</f>
        <v>-5496</v>
      </c>
      <c r="E39" s="528">
        <f>E36-E37</f>
        <v>-224</v>
      </c>
      <c r="F39" s="528">
        <f>F36-F37</f>
        <v>-421</v>
      </c>
      <c r="H39" s="33">
        <f>H36-H37</f>
        <v>109</v>
      </c>
      <c r="I39" s="33"/>
    </row>
    <row r="40" spans="1:9">
      <c r="A40" s="45" t="s">
        <v>54</v>
      </c>
      <c r="B40" s="41">
        <f>B39/B$8</f>
        <v>6.3181892199967435E-2</v>
      </c>
      <c r="C40" s="41">
        <f>C39/C$8</f>
        <v>-5.8340106565519731E-2</v>
      </c>
      <c r="D40" s="41">
        <f>D39/D$8</f>
        <v>-0.80669308674592688</v>
      </c>
      <c r="E40" s="41">
        <f t="shared" ref="E40:F40" si="2">E39/E$8</f>
        <v>-6.7166416791604192E-2</v>
      </c>
      <c r="F40" s="41">
        <f t="shared" si="2"/>
        <v>-0.16186082276047675</v>
      </c>
    </row>
    <row r="41" spans="1:9">
      <c r="A41" s="40"/>
      <c r="B41" s="39"/>
      <c r="C41" s="39"/>
      <c r="D41" s="39"/>
      <c r="E41" s="40"/>
    </row>
    <row r="42" spans="1:9" ht="15">
      <c r="A42" s="43"/>
      <c r="B42" s="42"/>
      <c r="C42" s="42"/>
      <c r="D42" s="42"/>
      <c r="E42" s="47"/>
    </row>
    <row r="43" spans="1:9" ht="15">
      <c r="A43" s="43"/>
      <c r="B43" s="39"/>
      <c r="C43" s="39"/>
      <c r="D43" s="39"/>
      <c r="E43" s="47"/>
    </row>
    <row r="44" spans="1:9" ht="15">
      <c r="A44" s="44"/>
      <c r="B44" s="39"/>
      <c r="C44" s="39"/>
      <c r="D44" s="39"/>
      <c r="E44" s="47"/>
    </row>
    <row r="45" spans="1:9" ht="15">
      <c r="A45" s="44"/>
      <c r="B45" s="39"/>
      <c r="C45" s="39"/>
      <c r="D45" s="39"/>
      <c r="E45" s="47"/>
    </row>
    <row r="46" spans="1:9" ht="15">
      <c r="A46" s="44"/>
      <c r="B46" s="39"/>
      <c r="C46" s="39"/>
      <c r="D46" s="39"/>
      <c r="E46" s="47"/>
    </row>
    <row r="47" spans="1:9" ht="15">
      <c r="A47" s="44"/>
      <c r="B47" s="39"/>
      <c r="C47" s="39"/>
      <c r="D47" s="39"/>
      <c r="E47" s="47"/>
    </row>
    <row r="48" spans="1:9" ht="15">
      <c r="A48" s="44"/>
      <c r="B48" s="39"/>
      <c r="C48" s="39"/>
      <c r="D48" s="39"/>
      <c r="E48" s="47"/>
    </row>
    <row r="49" spans="1:8" ht="15">
      <c r="A49" s="44"/>
      <c r="B49" s="39"/>
      <c r="C49" s="39"/>
      <c r="D49" s="39"/>
      <c r="E49" s="47"/>
    </row>
    <row r="50" spans="1:8" ht="15">
      <c r="A50" s="44"/>
      <c r="B50" s="39"/>
      <c r="C50" s="39"/>
      <c r="D50" s="39"/>
      <c r="E50" s="47"/>
    </row>
    <row r="51" spans="1:8" ht="15">
      <c r="A51" s="44"/>
      <c r="B51" s="39"/>
      <c r="C51" s="39"/>
      <c r="D51" s="39"/>
      <c r="E51" s="47"/>
    </row>
    <row r="52" spans="1:8" ht="15">
      <c r="A52" s="44"/>
      <c r="B52" s="39"/>
      <c r="C52" s="39"/>
      <c r="D52" s="39"/>
      <c r="E52" s="47"/>
    </row>
    <row r="53" spans="1:8">
      <c r="A53" s="44"/>
      <c r="B53" s="39"/>
      <c r="C53" s="39"/>
      <c r="D53" s="39"/>
      <c r="E53" s="39"/>
    </row>
    <row r="54" spans="1:8">
      <c r="A54" s="44"/>
      <c r="B54" s="39"/>
      <c r="C54" s="39"/>
      <c r="D54" s="39"/>
      <c r="E54" s="39"/>
    </row>
    <row r="55" spans="1:8">
      <c r="A55" s="44"/>
      <c r="B55" s="39"/>
      <c r="C55" s="39"/>
      <c r="D55" s="39"/>
      <c r="E55" s="39"/>
    </row>
    <row r="56" spans="1:8" ht="15">
      <c r="A56" s="43"/>
      <c r="B56" s="39"/>
      <c r="C56" s="39"/>
      <c r="D56" s="39"/>
      <c r="E56" s="42"/>
    </row>
    <row r="57" spans="1:8" ht="15">
      <c r="A57" s="36"/>
      <c r="B57" s="39"/>
      <c r="C57" s="39"/>
      <c r="D57" s="39"/>
      <c r="E57" s="41"/>
      <c r="H57" s="32">
        <v>0.74</v>
      </c>
    </row>
    <row r="58" spans="1:8">
      <c r="A58" s="38"/>
      <c r="B58" s="37"/>
      <c r="C58" s="37"/>
      <c r="D58" s="37"/>
      <c r="E58" s="39"/>
    </row>
    <row r="59" spans="1:8">
      <c r="A59" s="38"/>
      <c r="B59" s="37"/>
      <c r="C59" s="37"/>
      <c r="D59" s="37"/>
      <c r="E59" s="39"/>
    </row>
    <row r="60" spans="1:8">
      <c r="A60" s="40"/>
      <c r="B60" s="37"/>
      <c r="C60" s="37"/>
      <c r="D60" s="37"/>
      <c r="E60" s="39"/>
    </row>
    <row r="61" spans="1:8" ht="15">
      <c r="A61" s="36"/>
      <c r="B61" s="36"/>
      <c r="C61" s="36"/>
      <c r="D61" s="36"/>
      <c r="E61" s="37"/>
    </row>
    <row r="62" spans="1:8">
      <c r="A62" s="38"/>
      <c r="B62" s="34"/>
      <c r="C62" s="34"/>
      <c r="D62" s="34"/>
      <c r="E62" s="37"/>
    </row>
    <row r="63" spans="1:8">
      <c r="A63" s="38"/>
      <c r="B63" s="34"/>
      <c r="C63" s="34"/>
      <c r="D63" s="34"/>
      <c r="E63" s="37"/>
    </row>
    <row r="64" spans="1:8" ht="15">
      <c r="E64" s="36"/>
    </row>
    <row r="65" spans="1:5">
      <c r="A65" s="35"/>
      <c r="E65" s="34"/>
    </row>
    <row r="66" spans="1:5">
      <c r="E66" s="34"/>
    </row>
    <row r="68" spans="1:5">
      <c r="E68" s="33"/>
    </row>
  </sheetData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rowBreaks count="1" manualBreakCount="1">
    <brk id="79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9</vt:i4>
      </vt:variant>
    </vt:vector>
  </HeadingPairs>
  <TitlesOfParts>
    <vt:vector size="39" baseType="lpstr">
      <vt:lpstr>Football Field</vt:lpstr>
      <vt:lpstr>WACC</vt:lpstr>
      <vt:lpstr>Cost of Debt</vt:lpstr>
      <vt:lpstr>Cost of Equity</vt:lpstr>
      <vt:lpstr>DCF Analysis </vt:lpstr>
      <vt:lpstr>Scenarios </vt:lpstr>
      <vt:lpstr>Dropdown</vt:lpstr>
      <vt:lpstr>Change in NWC</vt:lpstr>
      <vt:lpstr>Income Statement</vt:lpstr>
      <vt:lpstr>Balance Sheet</vt:lpstr>
      <vt:lpstr>Cash Flow Statement</vt:lpstr>
      <vt:lpstr>Patent Valuation</vt:lpstr>
      <vt:lpstr>APV</vt:lpstr>
      <vt:lpstr>Comparable Transactions</vt:lpstr>
      <vt:lpstr>Comparable Company Valuation</vt:lpstr>
      <vt:lpstr>Daimler</vt:lpstr>
      <vt:lpstr>Regression Daimler</vt:lpstr>
      <vt:lpstr>Paccar</vt:lpstr>
      <vt:lpstr>Regression Paccar</vt:lpstr>
      <vt:lpstr>Oshkosh</vt:lpstr>
      <vt:lpstr>Oshkosh Regression</vt:lpstr>
      <vt:lpstr>Scania</vt:lpstr>
      <vt:lpstr>Scania Regression</vt:lpstr>
      <vt:lpstr>Navistar</vt:lpstr>
      <vt:lpstr>Dongfeng</vt:lpstr>
      <vt:lpstr>Dongfeng Regression</vt:lpstr>
      <vt:lpstr>Deutz</vt:lpstr>
      <vt:lpstr>Deutz Regression</vt:lpstr>
      <vt:lpstr>Dürr</vt:lpstr>
      <vt:lpstr>Dürr Regression</vt:lpstr>
      <vt:lpstr>'Balance Sheet'!Print_Area</vt:lpstr>
      <vt:lpstr>'Cash Flow Statement'!Print_Area</vt:lpstr>
      <vt:lpstr>Daimler!Print_Area</vt:lpstr>
      <vt:lpstr>'DCF Analysis '!Print_Area</vt:lpstr>
      <vt:lpstr>'Income Statement'!Print_Area</vt:lpstr>
      <vt:lpstr>Oshkosh!Print_Area</vt:lpstr>
      <vt:lpstr>Paccar!Print_Area</vt:lpstr>
      <vt:lpstr>'Patent Valuation'!Print_Area</vt:lpstr>
      <vt:lpstr>WACC!Print_Area</vt:lpstr>
    </vt:vector>
  </TitlesOfParts>
  <Company>EBS Universität für Wirtschaft und Rech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Hourfar, Navid</dc:creator>
  <cp:lastModifiedBy>Mashada Kamal</cp:lastModifiedBy>
  <cp:lastPrinted>2015-12-01T20:49:12Z</cp:lastPrinted>
  <dcterms:created xsi:type="dcterms:W3CDTF">2014-11-15T10:09:43Z</dcterms:created>
  <dcterms:modified xsi:type="dcterms:W3CDTF">2015-12-01T22:32:46Z</dcterms:modified>
</cp:coreProperties>
</file>