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30" windowWidth="23955" windowHeight="10545"/>
  </bookViews>
  <sheets>
    <sheet name="Summary" sheetId="4" r:id="rId1"/>
    <sheet name="Financials" sheetId="2" r:id="rId2"/>
    <sheet name="DCF" sheetId="5" r:id="rId3"/>
    <sheet name="Comps" sheetId="3" r:id="rId4"/>
    <sheet name="Precedents" sheetId="1" r:id="rId5"/>
  </sheets>
  <definedNames>
    <definedName name="_xlnm.Print_Area" localSheetId="3">Comps!$A$1:$L$37</definedName>
    <definedName name="_xlnm.Print_Area" localSheetId="2">DCF!$A$1:$L$80</definedName>
    <definedName name="_xlnm.Print_Area" localSheetId="1">Financials!$A$1:$S$225</definedName>
    <definedName name="_xlnm.Print_Area" localSheetId="4">Precedents!$A$1:$L$48</definedName>
    <definedName name="_xlnm.Print_Area" localSheetId="0">Summary!$A$1:$J$15</definedName>
  </definedNames>
  <calcPr calcId="145621"/>
  <fileRecoveryPr repairLoad="1"/>
</workbook>
</file>

<file path=xl/calcChain.xml><?xml version="1.0" encoding="utf-8"?>
<calcChain xmlns="http://schemas.openxmlformats.org/spreadsheetml/2006/main">
  <c r="D58" i="5" l="1"/>
  <c r="D57" i="5"/>
  <c r="C79" i="5"/>
  <c r="F66" i="5"/>
  <c r="F65" i="5"/>
  <c r="F64" i="5"/>
  <c r="F219" i="2"/>
  <c r="G219" i="2"/>
  <c r="I219" i="2"/>
  <c r="H51" i="5"/>
  <c r="C12" i="5"/>
  <c r="C11" i="5"/>
  <c r="C7" i="5"/>
  <c r="D49" i="5"/>
  <c r="H12" i="5"/>
  <c r="G12" i="5"/>
  <c r="F12" i="5"/>
  <c r="E12" i="5"/>
  <c r="D12" i="5"/>
  <c r="H11" i="5"/>
  <c r="G11" i="5"/>
  <c r="F11" i="5"/>
  <c r="E11" i="5"/>
  <c r="D11" i="5"/>
  <c r="H7" i="5"/>
  <c r="G7" i="5"/>
  <c r="F7" i="5"/>
  <c r="E7" i="5"/>
  <c r="D7" i="5"/>
  <c r="P161" i="2"/>
  <c r="P129" i="2"/>
  <c r="H10" i="5" s="1"/>
  <c r="P72" i="2"/>
  <c r="P65" i="2"/>
  <c r="P69" i="2" s="1"/>
  <c r="C39" i="5"/>
  <c r="C36" i="5"/>
  <c r="C35" i="5"/>
  <c r="P143" i="2" l="1"/>
  <c r="D47" i="5"/>
  <c r="C47" i="5"/>
  <c r="C54" i="5" s="1"/>
  <c r="G18" i="3"/>
  <c r="F20" i="1"/>
  <c r="G16" i="3"/>
  <c r="G15" i="3"/>
  <c r="G11" i="3"/>
  <c r="G13" i="3"/>
  <c r="G10" i="3"/>
  <c r="G9" i="3"/>
  <c r="G5" i="3"/>
  <c r="G4" i="3"/>
  <c r="O161" i="2"/>
  <c r="O129" i="2"/>
  <c r="O72" i="2"/>
  <c r="O65" i="2"/>
  <c r="O69" i="2" s="1"/>
  <c r="O143" i="2" l="1"/>
  <c r="G10" i="5"/>
  <c r="D48" i="5"/>
  <c r="D51" i="5" s="1"/>
  <c r="D60" i="5" s="1"/>
  <c r="G7" i="3"/>
  <c r="G20" i="3"/>
  <c r="J174" i="2"/>
  <c r="J155" i="2"/>
  <c r="J134" i="2"/>
  <c r="J133" i="2"/>
  <c r="D229" i="2"/>
  <c r="E230" i="2"/>
  <c r="E229" i="2"/>
  <c r="G199" i="2"/>
  <c r="G184" i="2"/>
  <c r="G181" i="2"/>
  <c r="H25" i="3" l="1"/>
  <c r="H26" i="3" s="1"/>
  <c r="D25" i="3"/>
  <c r="D26" i="3" s="1"/>
  <c r="F25" i="3"/>
  <c r="F26" i="3" s="1"/>
  <c r="I25" i="3"/>
  <c r="I26" i="3" s="1"/>
  <c r="K25" i="3"/>
  <c r="K26" i="3" s="1"/>
  <c r="G25" i="3"/>
  <c r="G26" i="3" s="1"/>
  <c r="C25" i="3"/>
  <c r="C26" i="3" s="1"/>
  <c r="J25" i="3"/>
  <c r="J26" i="3" s="1"/>
  <c r="E25" i="3"/>
  <c r="E26" i="3" s="1"/>
  <c r="K151" i="2"/>
  <c r="I171" i="2"/>
  <c r="H171" i="2"/>
  <c r="I170" i="2"/>
  <c r="H170" i="2"/>
  <c r="N161" i="2"/>
  <c r="M161" i="2"/>
  <c r="L161" i="2"/>
  <c r="K161" i="2"/>
  <c r="N129" i="2"/>
  <c r="M129" i="2"/>
  <c r="L129" i="2"/>
  <c r="K129" i="2"/>
  <c r="C10" i="5" s="1"/>
  <c r="I97" i="2"/>
  <c r="H97" i="2"/>
  <c r="G97" i="2"/>
  <c r="E97" i="2"/>
  <c r="I99" i="2"/>
  <c r="H99" i="2"/>
  <c r="G99" i="2"/>
  <c r="E99" i="2"/>
  <c r="L72" i="2"/>
  <c r="K72" i="2"/>
  <c r="M72" i="2"/>
  <c r="N72" i="2"/>
  <c r="K34" i="2"/>
  <c r="L34" i="2" s="1"/>
  <c r="M34" i="2" s="1"/>
  <c r="N34" i="2" s="1"/>
  <c r="O34" i="2" s="1"/>
  <c r="P34" i="2" s="1"/>
  <c r="N143" i="2" l="1"/>
  <c r="F10" i="5"/>
  <c r="M143" i="2"/>
  <c r="E10" i="5"/>
  <c r="L143" i="2"/>
  <c r="D10" i="5"/>
  <c r="K143" i="2"/>
  <c r="K190" i="2" s="1"/>
  <c r="K30" i="2"/>
  <c r="K29" i="2"/>
  <c r="G12" i="2"/>
  <c r="G8" i="2"/>
  <c r="G7" i="2"/>
  <c r="G6" i="2"/>
  <c r="F12" i="2"/>
  <c r="F8" i="2"/>
  <c r="F7" i="2"/>
  <c r="F6" i="2"/>
  <c r="E12" i="2"/>
  <c r="E8" i="2"/>
  <c r="E7" i="2"/>
  <c r="E6" i="2"/>
  <c r="D12" i="2"/>
  <c r="D8" i="2"/>
  <c r="D7" i="2"/>
  <c r="D6" i="2"/>
  <c r="N65" i="2"/>
  <c r="N69" i="2" s="1"/>
  <c r="M65" i="2"/>
  <c r="M69" i="2" s="1"/>
  <c r="K65" i="2"/>
  <c r="K69" i="2" s="1"/>
  <c r="I106" i="2"/>
  <c r="H106" i="2"/>
  <c r="G106" i="2"/>
  <c r="E106" i="2"/>
  <c r="C106" i="2"/>
  <c r="I103" i="2"/>
  <c r="H103" i="2"/>
  <c r="G103" i="2"/>
  <c r="E103" i="2"/>
  <c r="C103" i="2"/>
  <c r="C209" i="2"/>
  <c r="D209" i="2"/>
  <c r="E209" i="2"/>
  <c r="F174" i="2"/>
  <c r="I175" i="2"/>
  <c r="H175" i="2"/>
  <c r="G175" i="2"/>
  <c r="E175" i="2"/>
  <c r="J173" i="2"/>
  <c r="G171" i="2"/>
  <c r="E171" i="2"/>
  <c r="G170" i="2"/>
  <c r="E170" i="2"/>
  <c r="I135" i="2"/>
  <c r="H135" i="2"/>
  <c r="G135" i="2"/>
  <c r="E135" i="2"/>
  <c r="C135" i="2"/>
  <c r="C100" i="2"/>
  <c r="C129" i="2"/>
  <c r="D129" i="2"/>
  <c r="E129" i="2"/>
  <c r="F129" i="2"/>
  <c r="I128" i="2"/>
  <c r="H128" i="2"/>
  <c r="G128" i="2"/>
  <c r="E128" i="2"/>
  <c r="C128" i="2"/>
  <c r="G129" i="2"/>
  <c r="H129" i="2"/>
  <c r="I129" i="2"/>
  <c r="I127" i="2"/>
  <c r="H127" i="2"/>
  <c r="G127" i="2"/>
  <c r="E127" i="2"/>
  <c r="C127" i="2"/>
  <c r="C126" i="2"/>
  <c r="D134" i="2"/>
  <c r="F134" i="2"/>
  <c r="F137" i="2" s="1"/>
  <c r="E166" i="2"/>
  <c r="D161" i="2"/>
  <c r="D155" i="2"/>
  <c r="D150" i="2"/>
  <c r="D147" i="2"/>
  <c r="D143" i="2"/>
  <c r="F143" i="2"/>
  <c r="D112" i="2"/>
  <c r="C112" i="2"/>
  <c r="C123" i="2" s="1"/>
  <c r="D109" i="2"/>
  <c r="D119" i="2"/>
  <c r="D230" i="2" s="1"/>
  <c r="D108" i="2"/>
  <c r="D105" i="2"/>
  <c r="D128" i="2" s="1"/>
  <c r="D102" i="2"/>
  <c r="D127" i="2" s="1"/>
  <c r="C96" i="2"/>
  <c r="C97" i="2" s="1"/>
  <c r="D99" i="2"/>
  <c r="D93" i="2"/>
  <c r="I214" i="2"/>
  <c r="G214" i="2"/>
  <c r="F214" i="2"/>
  <c r="F229" i="2" s="1"/>
  <c r="F207" i="2"/>
  <c r="F202" i="2"/>
  <c r="F204" i="2" s="1"/>
  <c r="F186" i="2"/>
  <c r="F159" i="2"/>
  <c r="G159" i="2"/>
  <c r="F163" i="2"/>
  <c r="F161" i="2"/>
  <c r="E153" i="2"/>
  <c r="G153" i="2"/>
  <c r="K153" i="2" s="1"/>
  <c r="H153" i="2"/>
  <c r="I153" i="2"/>
  <c r="F155" i="2"/>
  <c r="F151" i="2"/>
  <c r="F152" i="2"/>
  <c r="F150" i="2"/>
  <c r="E145" i="2"/>
  <c r="F145" i="2"/>
  <c r="F147" i="2"/>
  <c r="F170" i="2" s="1"/>
  <c r="G145" i="2"/>
  <c r="F116" i="2"/>
  <c r="F109" i="2"/>
  <c r="F110" i="2" s="1"/>
  <c r="G109" i="2"/>
  <c r="F108" i="2"/>
  <c r="F105" i="2"/>
  <c r="F128" i="2" s="1"/>
  <c r="F102" i="2"/>
  <c r="F127" i="2" s="1"/>
  <c r="F96" i="2"/>
  <c r="F199" i="2" s="1"/>
  <c r="F93" i="2"/>
  <c r="F181" i="2" s="1"/>
  <c r="J212" i="2"/>
  <c r="J211" i="2"/>
  <c r="J206" i="2"/>
  <c r="K206" i="2" s="1"/>
  <c r="L206" i="2" s="1"/>
  <c r="M206" i="2" s="1"/>
  <c r="N206" i="2" s="1"/>
  <c r="O206" i="2" s="1"/>
  <c r="P206" i="2" s="1"/>
  <c r="I207" i="2"/>
  <c r="J207" i="2" s="1"/>
  <c r="K207" i="2" s="1"/>
  <c r="L207" i="2" s="1"/>
  <c r="M207" i="2" s="1"/>
  <c r="N207" i="2" s="1"/>
  <c r="O207" i="2" s="1"/>
  <c r="P207" i="2" s="1"/>
  <c r="G207" i="2"/>
  <c r="J208" i="2"/>
  <c r="J201" i="2"/>
  <c r="J219" i="2" s="1"/>
  <c r="J198" i="2"/>
  <c r="I202" i="2"/>
  <c r="G202" i="2"/>
  <c r="J203" i="2"/>
  <c r="J193" i="2"/>
  <c r="K193" i="2" s="1"/>
  <c r="L193" i="2" s="1"/>
  <c r="M193" i="2" s="1"/>
  <c r="N193" i="2" s="1"/>
  <c r="O193" i="2" s="1"/>
  <c r="P193" i="2" s="1"/>
  <c r="J192" i="2"/>
  <c r="K192" i="2" s="1"/>
  <c r="L192" i="2" s="1"/>
  <c r="M192" i="2" s="1"/>
  <c r="N192" i="2" s="1"/>
  <c r="O192" i="2" s="1"/>
  <c r="P192" i="2" s="1"/>
  <c r="J191" i="2"/>
  <c r="J190" i="2"/>
  <c r="J183" i="2"/>
  <c r="J180" i="2"/>
  <c r="J179" i="2"/>
  <c r="K179" i="2" s="1"/>
  <c r="L179" i="2" s="1"/>
  <c r="M179" i="2" s="1"/>
  <c r="N179" i="2" s="1"/>
  <c r="O179" i="2" s="1"/>
  <c r="P179" i="2" s="1"/>
  <c r="J163" i="2"/>
  <c r="G186" i="2"/>
  <c r="I186" i="2"/>
  <c r="J186" i="2" s="1"/>
  <c r="K186" i="2" s="1"/>
  <c r="L186" i="2" s="1"/>
  <c r="M186" i="2" s="1"/>
  <c r="N186" i="2" s="1"/>
  <c r="O186" i="2" s="1"/>
  <c r="P186" i="2" s="1"/>
  <c r="J187" i="2"/>
  <c r="H165" i="2"/>
  <c r="I165" i="2"/>
  <c r="H159" i="2"/>
  <c r="J161" i="2"/>
  <c r="I159" i="2"/>
  <c r="I158" i="2" s="1"/>
  <c r="J151" i="2"/>
  <c r="J152" i="2"/>
  <c r="J150" i="2"/>
  <c r="J121" i="2"/>
  <c r="J116" i="2"/>
  <c r="J122" i="2"/>
  <c r="H109" i="2"/>
  <c r="I109" i="2"/>
  <c r="J113" i="2"/>
  <c r="J112" i="2"/>
  <c r="J108" i="2"/>
  <c r="J105" i="2"/>
  <c r="J128" i="2" s="1"/>
  <c r="J102" i="2"/>
  <c r="J127" i="2" s="1"/>
  <c r="J96" i="2"/>
  <c r="J93" i="2"/>
  <c r="H100" i="2"/>
  <c r="E114" i="2"/>
  <c r="I126" i="2"/>
  <c r="J87" i="2"/>
  <c r="G87" i="2"/>
  <c r="F87" i="2"/>
  <c r="E87" i="2"/>
  <c r="D87" i="2"/>
  <c r="C87" i="2"/>
  <c r="D65" i="2"/>
  <c r="D69" i="2" s="1"/>
  <c r="G65" i="2"/>
  <c r="G69" i="2" s="1"/>
  <c r="F65" i="2"/>
  <c r="F69" i="2" s="1"/>
  <c r="E65" i="2"/>
  <c r="E69" i="2" s="1"/>
  <c r="C65" i="2"/>
  <c r="C69" i="2" s="1"/>
  <c r="J30" i="2"/>
  <c r="J29" i="2"/>
  <c r="J28" i="2"/>
  <c r="J45" i="2"/>
  <c r="J41" i="2"/>
  <c r="J40" i="2"/>
  <c r="J39" i="2"/>
  <c r="I19" i="2"/>
  <c r="I18" i="2"/>
  <c r="I17" i="2"/>
  <c r="I72" i="2" s="1"/>
  <c r="H19" i="2"/>
  <c r="H18" i="2"/>
  <c r="H17" i="2"/>
  <c r="H72" i="2" s="1"/>
  <c r="I32" i="2"/>
  <c r="H32" i="2"/>
  <c r="I43" i="2"/>
  <c r="H43" i="2"/>
  <c r="D17" i="2"/>
  <c r="D72" i="2" s="1"/>
  <c r="D81" i="2" s="1"/>
  <c r="E17" i="2"/>
  <c r="E72" i="2" s="1"/>
  <c r="E81" i="2" s="1"/>
  <c r="F17" i="2"/>
  <c r="F72" i="2" s="1"/>
  <c r="F81" i="2" s="1"/>
  <c r="G17" i="2"/>
  <c r="G72" i="2" s="1"/>
  <c r="G81" i="2" s="1"/>
  <c r="D18" i="2"/>
  <c r="E18" i="2"/>
  <c r="F18" i="2"/>
  <c r="G18" i="2"/>
  <c r="D19" i="2"/>
  <c r="E19" i="2"/>
  <c r="F19" i="2"/>
  <c r="G19" i="2"/>
  <c r="D23" i="2"/>
  <c r="E23" i="2"/>
  <c r="F23" i="2"/>
  <c r="G23" i="2"/>
  <c r="K23" i="2" s="1"/>
  <c r="C23" i="2"/>
  <c r="C19" i="2"/>
  <c r="C18" i="2"/>
  <c r="C17" i="2"/>
  <c r="G32" i="2"/>
  <c r="G36" i="2" s="1"/>
  <c r="F32" i="2"/>
  <c r="F36" i="2" s="1"/>
  <c r="E32" i="2"/>
  <c r="E36" i="2" s="1"/>
  <c r="D32" i="2"/>
  <c r="D36" i="2" s="1"/>
  <c r="C32" i="2"/>
  <c r="C36" i="2" s="1"/>
  <c r="G43" i="2"/>
  <c r="G47" i="2" s="1"/>
  <c r="F43" i="2"/>
  <c r="F47" i="2" s="1"/>
  <c r="F52" i="2" s="1"/>
  <c r="E43" i="2"/>
  <c r="E47" i="2" s="1"/>
  <c r="D43" i="2"/>
  <c r="D47" i="2" s="1"/>
  <c r="D52" i="2" s="1"/>
  <c r="C43" i="2"/>
  <c r="C47" i="2" s="1"/>
  <c r="C94" i="2" s="1"/>
  <c r="L190" i="2" l="1"/>
  <c r="M190" i="2" s="1"/>
  <c r="N190" i="2" s="1"/>
  <c r="O190" i="2" s="1"/>
  <c r="P190" i="2" s="1"/>
  <c r="D137" i="2"/>
  <c r="K30" i="3"/>
  <c r="G30" i="3"/>
  <c r="C30" i="3"/>
  <c r="J30" i="3"/>
  <c r="F30" i="3"/>
  <c r="I30" i="3"/>
  <c r="E30" i="3"/>
  <c r="H30" i="3"/>
  <c r="D30" i="3"/>
  <c r="C22" i="5"/>
  <c r="C130" i="2"/>
  <c r="C137" i="2"/>
  <c r="C138" i="2" s="1"/>
  <c r="F138" i="2"/>
  <c r="I130" i="2"/>
  <c r="I137" i="2"/>
  <c r="I138" i="2" s="1"/>
  <c r="D138" i="2"/>
  <c r="H130" i="2"/>
  <c r="H137" i="2"/>
  <c r="H138" i="2" s="1"/>
  <c r="E130" i="2"/>
  <c r="E137" i="2"/>
  <c r="E138" i="2" s="1"/>
  <c r="G130" i="2"/>
  <c r="G137" i="2"/>
  <c r="G138" i="2" s="1"/>
  <c r="K191" i="2"/>
  <c r="G204" i="2"/>
  <c r="G209" i="2" s="1"/>
  <c r="G216" i="2" s="1"/>
  <c r="G228" i="2" s="1"/>
  <c r="J202" i="2"/>
  <c r="K202" i="2" s="1"/>
  <c r="L202" i="2" s="1"/>
  <c r="M202" i="2" s="1"/>
  <c r="N202" i="2" s="1"/>
  <c r="O202" i="2" s="1"/>
  <c r="P202" i="2" s="1"/>
  <c r="I204" i="2"/>
  <c r="K201" i="2"/>
  <c r="G110" i="2"/>
  <c r="J153" i="2"/>
  <c r="G229" i="2"/>
  <c r="D130" i="2"/>
  <c r="J199" i="2"/>
  <c r="K199" i="2" s="1"/>
  <c r="L199" i="2" s="1"/>
  <c r="M199" i="2" s="1"/>
  <c r="N199" i="2" s="1"/>
  <c r="O199" i="2" s="1"/>
  <c r="P199" i="2" s="1"/>
  <c r="F209" i="2"/>
  <c r="F216" i="2" s="1"/>
  <c r="F228" i="2" s="1"/>
  <c r="J181" i="2"/>
  <c r="K181" i="2" s="1"/>
  <c r="L181" i="2" s="1"/>
  <c r="F97" i="2"/>
  <c r="F184" i="2"/>
  <c r="J184" i="2"/>
  <c r="K184" i="2" s="1"/>
  <c r="L184" i="2" s="1"/>
  <c r="M184" i="2" s="1"/>
  <c r="N184" i="2" s="1"/>
  <c r="O184" i="2" s="1"/>
  <c r="P184" i="2" s="1"/>
  <c r="D94" i="2"/>
  <c r="G172" i="2"/>
  <c r="I47" i="2"/>
  <c r="I54" i="2" s="1"/>
  <c r="E52" i="2"/>
  <c r="E94" i="2"/>
  <c r="D14" i="2"/>
  <c r="L23" i="2"/>
  <c r="K45" i="2"/>
  <c r="F99" i="2"/>
  <c r="F126" i="2" s="1"/>
  <c r="F132" i="2" s="1"/>
  <c r="F94" i="2"/>
  <c r="F130" i="2"/>
  <c r="L29" i="2"/>
  <c r="K40" i="2"/>
  <c r="L151" i="2"/>
  <c r="L30" i="2"/>
  <c r="K41" i="2"/>
  <c r="G58" i="2"/>
  <c r="G94" i="2"/>
  <c r="J18" i="2"/>
  <c r="J97" i="2"/>
  <c r="J99" i="2"/>
  <c r="J126" i="2" s="1"/>
  <c r="F14" i="2"/>
  <c r="G14" i="2"/>
  <c r="G114" i="2"/>
  <c r="E14" i="2"/>
  <c r="F10" i="2"/>
  <c r="C72" i="2"/>
  <c r="C81" i="2" s="1"/>
  <c r="E10" i="2"/>
  <c r="G10" i="2"/>
  <c r="D10" i="2"/>
  <c r="F103" i="2"/>
  <c r="D100" i="2"/>
  <c r="D135" i="2"/>
  <c r="D106" i="2"/>
  <c r="C25" i="2"/>
  <c r="H114" i="2"/>
  <c r="J129" i="2"/>
  <c r="I114" i="2"/>
  <c r="J106" i="2"/>
  <c r="F106" i="2"/>
  <c r="C114" i="2"/>
  <c r="C116" i="2" s="1"/>
  <c r="C117" i="2" s="1"/>
  <c r="D114" i="2"/>
  <c r="J103" i="2"/>
  <c r="J214" i="2"/>
  <c r="C55" i="5" s="1"/>
  <c r="C56" i="5" s="1"/>
  <c r="D103" i="2"/>
  <c r="E172" i="2"/>
  <c r="E123" i="2"/>
  <c r="H172" i="2"/>
  <c r="C216" i="2"/>
  <c r="C228" i="2" s="1"/>
  <c r="I132" i="2"/>
  <c r="F153" i="2"/>
  <c r="F135" i="2"/>
  <c r="C132" i="2"/>
  <c r="I172" i="2"/>
  <c r="F171" i="2"/>
  <c r="F172" i="2" s="1"/>
  <c r="F175" i="2"/>
  <c r="E216" i="2"/>
  <c r="E228" i="2" s="1"/>
  <c r="D216" i="2"/>
  <c r="D228" i="2" s="1"/>
  <c r="E100" i="2"/>
  <c r="I100" i="2"/>
  <c r="J159" i="2"/>
  <c r="D96" i="2"/>
  <c r="D97" i="2" s="1"/>
  <c r="D126" i="2"/>
  <c r="D132" i="2" s="1"/>
  <c r="G100" i="2"/>
  <c r="D123" i="2"/>
  <c r="E126" i="2"/>
  <c r="E132" i="2" s="1"/>
  <c r="H126" i="2"/>
  <c r="H132" i="2" s="1"/>
  <c r="G126" i="2"/>
  <c r="G132" i="2" s="1"/>
  <c r="E142" i="2"/>
  <c r="E165" i="2" s="1"/>
  <c r="E167" i="2" s="1"/>
  <c r="E178" i="2" s="1"/>
  <c r="C142" i="2"/>
  <c r="D142" i="2"/>
  <c r="J147" i="2"/>
  <c r="J170" i="2" s="1"/>
  <c r="F165" i="2"/>
  <c r="F167" i="2" s="1"/>
  <c r="J17" i="2"/>
  <c r="J72" i="2" s="1"/>
  <c r="J109" i="2"/>
  <c r="E56" i="2"/>
  <c r="E50" i="2"/>
  <c r="E58" i="2"/>
  <c r="E51" i="2"/>
  <c r="C52" i="2"/>
  <c r="D50" i="2"/>
  <c r="D56" i="2"/>
  <c r="F50" i="2"/>
  <c r="F56" i="2"/>
  <c r="G52" i="2"/>
  <c r="C54" i="2"/>
  <c r="D51" i="2"/>
  <c r="D58" i="2"/>
  <c r="E54" i="2"/>
  <c r="F51" i="2"/>
  <c r="F58" i="2"/>
  <c r="G54" i="2"/>
  <c r="C50" i="2"/>
  <c r="C56" i="2"/>
  <c r="G50" i="2"/>
  <c r="G56" i="2"/>
  <c r="C51" i="2"/>
  <c r="C58" i="2"/>
  <c r="D54" i="2"/>
  <c r="F54" i="2"/>
  <c r="G51" i="2"/>
  <c r="J65" i="2"/>
  <c r="J69" i="2" s="1"/>
  <c r="C21" i="2"/>
  <c r="D25" i="2"/>
  <c r="J43" i="2"/>
  <c r="J19" i="2"/>
  <c r="H21" i="2"/>
  <c r="J32" i="2"/>
  <c r="I21" i="2"/>
  <c r="H47" i="2"/>
  <c r="H54" i="2" s="1"/>
  <c r="G25" i="2"/>
  <c r="G21" i="2"/>
  <c r="F25" i="2"/>
  <c r="F21" i="2"/>
  <c r="E25" i="2"/>
  <c r="E21" i="2"/>
  <c r="D21" i="2"/>
  <c r="D39" i="1"/>
  <c r="C45" i="1"/>
  <c r="D40" i="1" s="1"/>
  <c r="C39" i="1"/>
  <c r="E13" i="1"/>
  <c r="C14" i="1" s="1"/>
  <c r="E14" i="1" s="1"/>
  <c r="C15" i="1" s="1"/>
  <c r="K45" i="1"/>
  <c r="J45" i="1"/>
  <c r="I45" i="1"/>
  <c r="K39" i="1"/>
  <c r="J39" i="1"/>
  <c r="I39" i="1"/>
  <c r="H39" i="1"/>
  <c r="G39" i="1"/>
  <c r="F39" i="1"/>
  <c r="E39" i="1"/>
  <c r="H45" i="1"/>
  <c r="G18" i="1"/>
  <c r="G45" i="1"/>
  <c r="G20" i="1"/>
  <c r="F45" i="1"/>
  <c r="E45" i="1"/>
  <c r="G16" i="1"/>
  <c r="C6" i="4" s="1"/>
  <c r="G17" i="1"/>
  <c r="K109" i="2" l="1"/>
  <c r="K219" i="2"/>
  <c r="H28" i="3"/>
  <c r="D28" i="3"/>
  <c r="K28" i="3"/>
  <c r="G28" i="3"/>
  <c r="C28" i="3"/>
  <c r="J28" i="3"/>
  <c r="F28" i="3"/>
  <c r="I28" i="3"/>
  <c r="E28" i="3"/>
  <c r="C20" i="5"/>
  <c r="C58" i="5"/>
  <c r="C57" i="5"/>
  <c r="J130" i="2"/>
  <c r="J137" i="2"/>
  <c r="J138" i="2" s="1"/>
  <c r="J110" i="2"/>
  <c r="L191" i="2"/>
  <c r="L201" i="2"/>
  <c r="F114" i="2"/>
  <c r="F119" i="2" s="1"/>
  <c r="F230" i="2" s="1"/>
  <c r="J204" i="2"/>
  <c r="J209" i="2" s="1"/>
  <c r="J216" i="2" s="1"/>
  <c r="F100" i="2"/>
  <c r="I209" i="2"/>
  <c r="I216" i="2" s="1"/>
  <c r="I228" i="2" s="1"/>
  <c r="M181" i="2"/>
  <c r="G117" i="2"/>
  <c r="G119" i="2"/>
  <c r="M151" i="2"/>
  <c r="H117" i="2"/>
  <c r="H119" i="2"/>
  <c r="H123" i="2" s="1"/>
  <c r="I52" i="2"/>
  <c r="I50" i="2"/>
  <c r="I58" i="2"/>
  <c r="I56" i="2"/>
  <c r="I94" i="2"/>
  <c r="I51" i="2"/>
  <c r="H94" i="2"/>
  <c r="H52" i="2"/>
  <c r="H51" i="2"/>
  <c r="H58" i="2"/>
  <c r="H56" i="2"/>
  <c r="H50" i="2"/>
  <c r="J171" i="2"/>
  <c r="J172" i="2" s="1"/>
  <c r="M30" i="2"/>
  <c r="L41" i="2"/>
  <c r="M29" i="2"/>
  <c r="L40" i="2"/>
  <c r="L45" i="2"/>
  <c r="M23" i="2"/>
  <c r="I119" i="2"/>
  <c r="I123" i="2" s="1"/>
  <c r="I117" i="2"/>
  <c r="J100" i="2"/>
  <c r="J114" i="2"/>
  <c r="E116" i="2"/>
  <c r="E117" i="2" s="1"/>
  <c r="D116" i="2"/>
  <c r="D117" i="2" s="1"/>
  <c r="F178" i="2"/>
  <c r="G166" i="2"/>
  <c r="H166" i="2"/>
  <c r="H167" i="2" s="1"/>
  <c r="J166" i="2" s="1"/>
  <c r="E144" i="2"/>
  <c r="G165" i="2"/>
  <c r="J21" i="2"/>
  <c r="J47" i="2"/>
  <c r="J54" i="2" s="1"/>
  <c r="D42" i="1"/>
  <c r="D43" i="1"/>
  <c r="D41" i="1"/>
  <c r="E15" i="1"/>
  <c r="L109" i="2" l="1"/>
  <c r="L219" i="2"/>
  <c r="F188" i="2"/>
  <c r="F220" i="2"/>
  <c r="F223" i="2" s="1"/>
  <c r="F224" i="2" s="1"/>
  <c r="F142" i="2"/>
  <c r="F144" i="2" s="1"/>
  <c r="F123" i="2"/>
  <c r="F117" i="2"/>
  <c r="M191" i="2"/>
  <c r="M201" i="2"/>
  <c r="G142" i="2"/>
  <c r="G144" i="2" s="1"/>
  <c r="K144" i="2" s="1"/>
  <c r="L144" i="2" s="1"/>
  <c r="M144" i="2" s="1"/>
  <c r="N144" i="2" s="1"/>
  <c r="O144" i="2" s="1"/>
  <c r="P144" i="2" s="1"/>
  <c r="G230" i="2"/>
  <c r="G123" i="2"/>
  <c r="N201" i="2"/>
  <c r="N181" i="2"/>
  <c r="O181" i="2" s="1"/>
  <c r="P181" i="2" s="1"/>
  <c r="J175" i="2"/>
  <c r="J165" i="2"/>
  <c r="J167" i="2" s="1"/>
  <c r="J178" i="2" s="1"/>
  <c r="J220" i="2" s="1"/>
  <c r="J223" i="2" s="1"/>
  <c r="J224" i="2" s="1"/>
  <c r="N30" i="2"/>
  <c r="M41" i="2"/>
  <c r="L153" i="2"/>
  <c r="K155" i="2"/>
  <c r="K171" i="2" s="1"/>
  <c r="N29" i="2"/>
  <c r="M40" i="2"/>
  <c r="N151" i="2"/>
  <c r="O151" i="2" s="1"/>
  <c r="P151" i="2" s="1"/>
  <c r="J58" i="2"/>
  <c r="J56" i="2"/>
  <c r="J52" i="2"/>
  <c r="J50" i="2"/>
  <c r="J51" i="2"/>
  <c r="J94" i="2"/>
  <c r="M45" i="2"/>
  <c r="N23" i="2"/>
  <c r="J117" i="2"/>
  <c r="J119" i="2"/>
  <c r="J123" i="2" s="1"/>
  <c r="F194" i="2"/>
  <c r="G167" i="2"/>
  <c r="D45" i="1"/>
  <c r="C16" i="1"/>
  <c r="E16" i="1" s="1"/>
  <c r="O201" i="2" l="1"/>
  <c r="O219" i="2" s="1"/>
  <c r="O109" i="2" s="1"/>
  <c r="N219" i="2"/>
  <c r="N109" i="2" s="1"/>
  <c r="M109" i="2"/>
  <c r="M219" i="2"/>
  <c r="N45" i="2"/>
  <c r="O23" i="2"/>
  <c r="N40" i="2"/>
  <c r="O29" i="2"/>
  <c r="N41" i="2"/>
  <c r="O30" i="2"/>
  <c r="N191" i="2"/>
  <c r="O191" i="2" s="1"/>
  <c r="P191" i="2" s="1"/>
  <c r="J188" i="2"/>
  <c r="C21" i="5"/>
  <c r="I166" i="2"/>
  <c r="I167" i="2" s="1"/>
  <c r="I178" i="2" s="1"/>
  <c r="K166" i="2"/>
  <c r="M153" i="2"/>
  <c r="L155" i="2"/>
  <c r="L171" i="2" s="1"/>
  <c r="G178" i="2"/>
  <c r="C17" i="1"/>
  <c r="E17" i="1" s="1"/>
  <c r="P201" i="2" l="1"/>
  <c r="G188" i="2"/>
  <c r="G220" i="2"/>
  <c r="G223" i="2" s="1"/>
  <c r="G224" i="2" s="1"/>
  <c r="I188" i="2"/>
  <c r="I220" i="2"/>
  <c r="I223" i="2" s="1"/>
  <c r="I224" i="2" s="1"/>
  <c r="O41" i="2"/>
  <c r="P30" i="2"/>
  <c r="P41" i="2" s="1"/>
  <c r="O40" i="2"/>
  <c r="P29" i="2"/>
  <c r="P40" i="2" s="1"/>
  <c r="O45" i="2"/>
  <c r="P23" i="2"/>
  <c r="P45" i="2" s="1"/>
  <c r="J29" i="3"/>
  <c r="J33" i="3" s="1"/>
  <c r="F29" i="3"/>
  <c r="F33" i="3" s="1"/>
  <c r="H29" i="3"/>
  <c r="H33" i="3" s="1"/>
  <c r="D29" i="3"/>
  <c r="D33" i="3" s="1"/>
  <c r="G29" i="3"/>
  <c r="G33" i="3" s="1"/>
  <c r="I29" i="3"/>
  <c r="I33" i="3" s="1"/>
  <c r="E29" i="3"/>
  <c r="E33" i="3" s="1"/>
  <c r="K29" i="3"/>
  <c r="K33" i="3" s="1"/>
  <c r="C29" i="3"/>
  <c r="C33" i="3" s="1"/>
  <c r="I194" i="2"/>
  <c r="J194" i="2" s="1"/>
  <c r="K194" i="2" s="1"/>
  <c r="L194" i="2" s="1"/>
  <c r="M194" i="2" s="1"/>
  <c r="N194" i="2" s="1"/>
  <c r="O194" i="2" s="1"/>
  <c r="P194" i="2" s="1"/>
  <c r="N153" i="2"/>
  <c r="M155" i="2"/>
  <c r="M171" i="2" s="1"/>
  <c r="G194" i="2"/>
  <c r="C18" i="1"/>
  <c r="E18" i="1" s="1"/>
  <c r="P219" i="2" l="1"/>
  <c r="P109" i="2" s="1"/>
  <c r="C5" i="4"/>
  <c r="N155" i="2"/>
  <c r="N171" i="2" s="1"/>
  <c r="O153" i="2"/>
  <c r="J196" i="2"/>
  <c r="J228" i="2" s="1"/>
  <c r="C19" i="1"/>
  <c r="E19" i="1" s="1"/>
  <c r="O155" i="2" l="1"/>
  <c r="O171" i="2" s="1"/>
  <c r="P153" i="2"/>
  <c r="P155" i="2" s="1"/>
  <c r="P171" i="2" s="1"/>
  <c r="C20" i="1"/>
  <c r="E20" i="1" s="1"/>
  <c r="E158" i="2"/>
  <c r="F158" i="2"/>
  <c r="H158" i="2"/>
  <c r="G158" i="2"/>
  <c r="J158" i="2"/>
  <c r="D165" i="2"/>
  <c r="D178" i="2" s="1"/>
  <c r="C165" i="2"/>
  <c r="C178" i="2" s="1"/>
  <c r="K28" i="2"/>
  <c r="K39" i="2" s="1"/>
  <c r="K43" i="2" l="1"/>
  <c r="K32" i="2"/>
  <c r="K10" i="2" s="1"/>
  <c r="L28" i="2"/>
  <c r="L39" i="2" s="1"/>
  <c r="K47" i="2" l="1"/>
  <c r="K54" i="2" s="1"/>
  <c r="K21" i="2"/>
  <c r="L43" i="2"/>
  <c r="M28" i="2"/>
  <c r="M39" i="2" s="1"/>
  <c r="L32" i="2"/>
  <c r="L10" i="2" s="1"/>
  <c r="K36" i="2"/>
  <c r="K14" i="2" s="1"/>
  <c r="M43" i="2" l="1"/>
  <c r="K58" i="2"/>
  <c r="K25" i="2"/>
  <c r="K93" i="2"/>
  <c r="K180" i="2" s="1"/>
  <c r="K56" i="2"/>
  <c r="K52" i="2"/>
  <c r="K51" i="2"/>
  <c r="K50" i="2"/>
  <c r="L47" i="2"/>
  <c r="L54" i="2" s="1"/>
  <c r="L21" i="2"/>
  <c r="L36" i="2"/>
  <c r="L14" i="2" s="1"/>
  <c r="N28" i="2"/>
  <c r="O28" i="2" s="1"/>
  <c r="P28" i="2" s="1"/>
  <c r="M32" i="2"/>
  <c r="P32" i="2" l="1"/>
  <c r="P36" i="2" s="1"/>
  <c r="P39" i="2"/>
  <c r="O32" i="2"/>
  <c r="P10" i="2" s="1"/>
  <c r="O39" i="2"/>
  <c r="N32" i="2"/>
  <c r="N36" i="2" s="1"/>
  <c r="N39" i="2"/>
  <c r="L25" i="2"/>
  <c r="L93" i="2"/>
  <c r="L180" i="2" s="1"/>
  <c r="L58" i="2"/>
  <c r="L51" i="2"/>
  <c r="L56" i="2"/>
  <c r="L52" i="2"/>
  <c r="L50" i="2"/>
  <c r="M47" i="2"/>
  <c r="M54" i="2" s="1"/>
  <c r="M21" i="2"/>
  <c r="K105" i="2"/>
  <c r="K128" i="2" s="1"/>
  <c r="K102" i="2"/>
  <c r="K127" i="2" s="1"/>
  <c r="K96" i="2"/>
  <c r="K198" i="2" s="1"/>
  <c r="M36" i="2"/>
  <c r="M14" i="2" s="1"/>
  <c r="M10" i="2"/>
  <c r="P43" i="2" l="1"/>
  <c r="N10" i="2"/>
  <c r="O43" i="2"/>
  <c r="O36" i="2"/>
  <c r="O10" i="2"/>
  <c r="K204" i="2"/>
  <c r="K209" i="2" s="1"/>
  <c r="N14" i="2"/>
  <c r="K99" i="2"/>
  <c r="K114" i="2" s="1"/>
  <c r="K183" i="2"/>
  <c r="L105" i="2"/>
  <c r="L128" i="2" s="1"/>
  <c r="L96" i="2"/>
  <c r="L198" i="2" s="1"/>
  <c r="L102" i="2"/>
  <c r="L127" i="2" s="1"/>
  <c r="M93" i="2"/>
  <c r="M180" i="2" s="1"/>
  <c r="M25" i="2"/>
  <c r="M58" i="2"/>
  <c r="M51" i="2"/>
  <c r="M56" i="2"/>
  <c r="M52" i="2"/>
  <c r="M50" i="2"/>
  <c r="N43" i="2"/>
  <c r="P47" i="2" l="1"/>
  <c r="P21" i="2"/>
  <c r="P54" i="2"/>
  <c r="O14" i="2"/>
  <c r="P14" i="2"/>
  <c r="O21" i="2"/>
  <c r="O47" i="2"/>
  <c r="L204" i="2"/>
  <c r="L209" i="2" s="1"/>
  <c r="K100" i="2"/>
  <c r="K126" i="2"/>
  <c r="K134" i="2" s="1"/>
  <c r="L99" i="2"/>
  <c r="L100" i="2" s="1"/>
  <c r="L183" i="2"/>
  <c r="K116" i="2"/>
  <c r="K119" i="2" s="1"/>
  <c r="K230" i="2" s="1"/>
  <c r="N47" i="2"/>
  <c r="N54" i="2" s="1"/>
  <c r="N21" i="2"/>
  <c r="M96" i="2"/>
  <c r="M102" i="2"/>
  <c r="M127" i="2" s="1"/>
  <c r="M105" i="2"/>
  <c r="M128" i="2" s="1"/>
  <c r="K135" i="2" l="1"/>
  <c r="K137" i="2"/>
  <c r="P93" i="2"/>
  <c r="P25" i="2"/>
  <c r="P58" i="2"/>
  <c r="P51" i="2"/>
  <c r="P56" i="2"/>
  <c r="P52" i="2"/>
  <c r="P50" i="2"/>
  <c r="O93" i="2"/>
  <c r="O25" i="2"/>
  <c r="O58" i="2"/>
  <c r="O52" i="2"/>
  <c r="O56" i="2"/>
  <c r="O51" i="2"/>
  <c r="O50" i="2"/>
  <c r="O54" i="2"/>
  <c r="L126" i="2"/>
  <c r="L134" i="2" s="1"/>
  <c r="M183" i="2"/>
  <c r="M198" i="2"/>
  <c r="L114" i="2"/>
  <c r="L116" i="2" s="1"/>
  <c r="L119" i="2" s="1"/>
  <c r="L230" i="2" s="1"/>
  <c r="M99" i="2"/>
  <c r="M100" i="2" s="1"/>
  <c r="K142" i="2"/>
  <c r="K147" i="2" s="1"/>
  <c r="K123" i="2"/>
  <c r="N58" i="2"/>
  <c r="N93" i="2"/>
  <c r="N180" i="2" s="1"/>
  <c r="N25" i="2"/>
  <c r="N51" i="2"/>
  <c r="N52" i="2"/>
  <c r="N56" i="2"/>
  <c r="N50" i="2"/>
  <c r="K138" i="2" l="1"/>
  <c r="C6" i="5"/>
  <c r="C8" i="5" s="1"/>
  <c r="C9" i="5" s="1"/>
  <c r="C14" i="5" s="1"/>
  <c r="L135" i="2"/>
  <c r="L137" i="2"/>
  <c r="P102" i="2"/>
  <c r="P127" i="2" s="1"/>
  <c r="P180" i="2"/>
  <c r="P105" i="2"/>
  <c r="P128" i="2" s="1"/>
  <c r="P96" i="2"/>
  <c r="O105" i="2"/>
  <c r="O128" i="2" s="1"/>
  <c r="O180" i="2"/>
  <c r="O102" i="2"/>
  <c r="O127" i="2" s="1"/>
  <c r="O96" i="2"/>
  <c r="M204" i="2"/>
  <c r="M209" i="2" s="1"/>
  <c r="M114" i="2"/>
  <c r="M116" i="2" s="1"/>
  <c r="M119" i="2" s="1"/>
  <c r="M230" i="2" s="1"/>
  <c r="M126" i="2"/>
  <c r="M134" i="2" s="1"/>
  <c r="K165" i="2"/>
  <c r="K167" i="2" s="1"/>
  <c r="K170" i="2"/>
  <c r="K174" i="2" s="1"/>
  <c r="L142" i="2"/>
  <c r="L147" i="2" s="1"/>
  <c r="L123" i="2"/>
  <c r="N96" i="2"/>
  <c r="N105" i="2"/>
  <c r="N128" i="2" s="1"/>
  <c r="N102" i="2"/>
  <c r="N127" i="2" s="1"/>
  <c r="L138" i="2" l="1"/>
  <c r="D6" i="5"/>
  <c r="D8" i="5" s="1"/>
  <c r="D9" i="5" s="1"/>
  <c r="D14" i="5" s="1"/>
  <c r="M135" i="2"/>
  <c r="M137" i="2"/>
  <c r="P99" i="2"/>
  <c r="P198" i="2"/>
  <c r="P204" i="2" s="1"/>
  <c r="P209" i="2" s="1"/>
  <c r="P183" i="2"/>
  <c r="O99" i="2"/>
  <c r="O198" i="2"/>
  <c r="O204" i="2" s="1"/>
  <c r="O209" i="2" s="1"/>
  <c r="O183" i="2"/>
  <c r="K175" i="2"/>
  <c r="N183" i="2"/>
  <c r="N198" i="2"/>
  <c r="N99" i="2"/>
  <c r="N100" i="2" s="1"/>
  <c r="L165" i="2"/>
  <c r="L170" i="2"/>
  <c r="L174" i="2" s="1"/>
  <c r="L166" i="2"/>
  <c r="K178" i="2"/>
  <c r="K220" i="2" s="1"/>
  <c r="K223" i="2" s="1"/>
  <c r="K224" i="2" s="1"/>
  <c r="M123" i="2"/>
  <c r="M142" i="2"/>
  <c r="M147" i="2" s="1"/>
  <c r="M138" i="2" l="1"/>
  <c r="E6" i="5"/>
  <c r="E8" i="5" s="1"/>
  <c r="E9" i="5" s="1"/>
  <c r="E14" i="5" s="1"/>
  <c r="D15" i="5"/>
  <c r="D17" i="5"/>
  <c r="P126" i="2"/>
  <c r="P134" i="2" s="1"/>
  <c r="P114" i="2"/>
  <c r="P116" i="2" s="1"/>
  <c r="P119" i="2" s="1"/>
  <c r="P100" i="2"/>
  <c r="O100" i="2"/>
  <c r="O126" i="2"/>
  <c r="O134" i="2" s="1"/>
  <c r="O114" i="2"/>
  <c r="O116" i="2" s="1"/>
  <c r="O119" i="2" s="1"/>
  <c r="L175" i="2"/>
  <c r="N204" i="2"/>
  <c r="N209" i="2" s="1"/>
  <c r="K188" i="2"/>
  <c r="K196" i="2" s="1"/>
  <c r="K214" i="2" s="1"/>
  <c r="K229" i="2" s="1"/>
  <c r="N126" i="2"/>
  <c r="N134" i="2" s="1"/>
  <c r="N114" i="2"/>
  <c r="N116" i="2" s="1"/>
  <c r="N119" i="2" s="1"/>
  <c r="N230" i="2" s="1"/>
  <c r="L167" i="2"/>
  <c r="M166" i="2" s="1"/>
  <c r="M165" i="2"/>
  <c r="M170" i="2"/>
  <c r="M174" i="2" s="1"/>
  <c r="E15" i="5" l="1"/>
  <c r="E17" i="5"/>
  <c r="N135" i="2"/>
  <c r="N137" i="2"/>
  <c r="O135" i="2"/>
  <c r="O137" i="2"/>
  <c r="P135" i="2"/>
  <c r="P137" i="2"/>
  <c r="P142" i="2"/>
  <c r="P147" i="2" s="1"/>
  <c r="P230" i="2"/>
  <c r="P123" i="2"/>
  <c r="O142" i="2"/>
  <c r="O147" i="2" s="1"/>
  <c r="O230" i="2"/>
  <c r="O123" i="2"/>
  <c r="M175" i="2"/>
  <c r="L178" i="2"/>
  <c r="L220" i="2" s="1"/>
  <c r="L223" i="2" s="1"/>
  <c r="L224" i="2" s="1"/>
  <c r="M167" i="2"/>
  <c r="N166" i="2" s="1"/>
  <c r="N142" i="2"/>
  <c r="N147" i="2" s="1"/>
  <c r="N123" i="2"/>
  <c r="P138" i="2" l="1"/>
  <c r="H6" i="5"/>
  <c r="H8" i="5" s="1"/>
  <c r="H9" i="5" s="1"/>
  <c r="H14" i="5" s="1"/>
  <c r="O138" i="2"/>
  <c r="G6" i="5"/>
  <c r="G8" i="5" s="1"/>
  <c r="G9" i="5" s="1"/>
  <c r="G14" i="5" s="1"/>
  <c r="N138" i="2"/>
  <c r="F6" i="5"/>
  <c r="F8" i="5" s="1"/>
  <c r="F9" i="5" s="1"/>
  <c r="F14" i="5" s="1"/>
  <c r="P165" i="2"/>
  <c r="P170" i="2"/>
  <c r="P174" i="2" s="1"/>
  <c r="P175" i="2" s="1"/>
  <c r="O165" i="2"/>
  <c r="O170" i="2"/>
  <c r="O174" i="2" s="1"/>
  <c r="L188" i="2"/>
  <c r="L196" i="2" s="1"/>
  <c r="L214" i="2" s="1"/>
  <c r="L229" i="2" s="1"/>
  <c r="M178" i="2"/>
  <c r="M220" i="2" s="1"/>
  <c r="M223" i="2" s="1"/>
  <c r="M224" i="2" s="1"/>
  <c r="N165" i="2"/>
  <c r="N167" i="2" s="1"/>
  <c r="N170" i="2"/>
  <c r="N174" i="2" s="1"/>
  <c r="G15" i="5" l="1"/>
  <c r="G17" i="5"/>
  <c r="F15" i="5"/>
  <c r="F17" i="5"/>
  <c r="H15" i="5"/>
  <c r="H17" i="5"/>
  <c r="I14" i="5"/>
  <c r="I17" i="5" s="1"/>
  <c r="O175" i="2"/>
  <c r="N178" i="2"/>
  <c r="O166" i="2"/>
  <c r="O167" i="2" s="1"/>
  <c r="N175" i="2"/>
  <c r="M188" i="2"/>
  <c r="M196" i="2" s="1"/>
  <c r="M214" i="2" s="1"/>
  <c r="M229" i="2" s="1"/>
  <c r="L216" i="2"/>
  <c r="L228" i="2" s="1"/>
  <c r="K216" i="2"/>
  <c r="C19" i="5" l="1"/>
  <c r="C25" i="5" s="1"/>
  <c r="C4" i="4" s="1"/>
  <c r="C8" i="4" s="1"/>
  <c r="C10" i="4" s="1"/>
  <c r="N188" i="2"/>
  <c r="N196" i="2" s="1"/>
  <c r="N214" i="2" s="1"/>
  <c r="N216" i="2" s="1"/>
  <c r="N228" i="2" s="1"/>
  <c r="N220" i="2"/>
  <c r="N223" i="2" s="1"/>
  <c r="N224" i="2" s="1"/>
  <c r="O178" i="2"/>
  <c r="O220" i="2" s="1"/>
  <c r="O223" i="2" s="1"/>
  <c r="O224" i="2" s="1"/>
  <c r="P166" i="2"/>
  <c r="P167" i="2" s="1"/>
  <c r="P178" i="2" s="1"/>
  <c r="P220" i="2" s="1"/>
  <c r="P223" i="2" s="1"/>
  <c r="P224" i="2" s="1"/>
  <c r="N229" i="2"/>
  <c r="M216" i="2"/>
  <c r="M228" i="2" s="1"/>
  <c r="K228" i="2"/>
  <c r="J135" i="2"/>
  <c r="J132" i="2"/>
  <c r="D12" i="4" l="1"/>
  <c r="C12" i="4"/>
  <c r="F12" i="4"/>
  <c r="E12" i="4"/>
  <c r="O188" i="2"/>
  <c r="O196" i="2" s="1"/>
  <c r="O214" i="2" s="1"/>
  <c r="P188" i="2"/>
  <c r="P196" i="2" s="1"/>
  <c r="P214" i="2" s="1"/>
  <c r="O229" i="2"/>
  <c r="O216" i="2"/>
  <c r="O228" i="2" s="1"/>
  <c r="P229" i="2" l="1"/>
  <c r="P216" i="2"/>
  <c r="P228" i="2" s="1"/>
</calcChain>
</file>

<file path=xl/sharedStrings.xml><?xml version="1.0" encoding="utf-8"?>
<sst xmlns="http://schemas.openxmlformats.org/spreadsheetml/2006/main" count="421" uniqueCount="265">
  <si>
    <t>June 3, 2011</t>
  </si>
  <si>
    <t>Stake Acquired</t>
  </si>
  <si>
    <t>Ownership (Before)</t>
  </si>
  <si>
    <t>Ownership (After)</t>
  </si>
  <si>
    <t>Price Paid</t>
  </si>
  <si>
    <t>Source</t>
  </si>
  <si>
    <t>US Treasury's ownership</t>
  </si>
  <si>
    <t>http://www.fcagroup.com/en-US/media_center/FiatDocuments/2011/June/UST_Call_Pricing_and_ERA_ENG.pdf</t>
  </si>
  <si>
    <t>April 21, 2011</t>
  </si>
  <si>
    <t>April 30, 2009</t>
  </si>
  <si>
    <t>Fiat</t>
  </si>
  <si>
    <t>VEBA</t>
  </si>
  <si>
    <t>http://www.fcagroup.com/en-US/media_center/FiatDocuments/2009/APRILE/04_30_2009_Fiat_Group_and_Chrysler_enter_into_a_global_strategic_alliance.pdf</t>
  </si>
  <si>
    <t>Can. Gvt</t>
  </si>
  <si>
    <t>UST</t>
  </si>
  <si>
    <t>January 10, 2011</t>
  </si>
  <si>
    <t>http://www.fcagroup.com/en-US/media_center/FiatDocuments/2011/January/Fiat%20increases%20ownership%20of%20Chrysler%20Group%20LLC.pdf</t>
  </si>
  <si>
    <t>Total</t>
  </si>
  <si>
    <t>Holders</t>
  </si>
  <si>
    <t>April 12, 2011</t>
  </si>
  <si>
    <t>http://www.fcagroup.com/en-US/media_center/FiatDocuments/2011/April/Fiat_increases_ownership_of_Chrysler_Group_LLC_from_25_to_30_percent.pdf</t>
  </si>
  <si>
    <t>VEBA's ownership</t>
  </si>
  <si>
    <t>January 1, 2014</t>
  </si>
  <si>
    <t>http://www.fcagroup.com/en-US/media_center/FiatDocuments/2014/Gennaio/Fiat_to_acquire_remaining_equity_interests_in_Chrysler_Group_LLC_from_VEBA_Trust.pdf</t>
  </si>
  <si>
    <t>Press Release Date</t>
  </si>
  <si>
    <t>n/a</t>
  </si>
  <si>
    <t>Comments</t>
  </si>
  <si>
    <t>With specific reference to Fiat call options under the Chrysler-Fiat Alliance agreements, Fiat, currently holding 20% of Chrysler Group LLC, has the right - conditioned upon the achievement of three separate Performance Events - to receive without consideration up to an additional 15% interest in Chrysler Group LLC. In particular, the first Performance Event will occur when Chrysler receives regulatory approval for an engine based on the Fiat FIRE family for manufacture in U.S. and Chrysler commits to production. The second Performance Event will occur when Chrysler records revenues of $1.5 billion outside NAFTA and enters into agreements regarding the distribution in the Latin America region of certain Chrysler products. Finally, Fiat will receive the third tranche of 5% interest in Chrysler when Chrysler receives regulatory approval for a car based on Fiat platform technology with at least 40 combined mpg and commits to commercial assembly in the U.S. In addition to these rights, for each Performance Event that has not occurred by January 2013, Fiat may acquire the associated 5% equity tranches through a primary call option. Fiat also has a second primary call option to acquire up to a further 16% of Chrysler’s equity, subject to a limit on Fiat’s ownership at 49% prior to full repayment of the UST and Canadian government loans. Fiat may exercise these two call options from January 2013 to June 2016. The consideration to be paid for the exercise of these two options is determined on the basis of an EBITDA multiple (average multiple of reference automakers, not to exceed the Fiat multiple). In the event that at the time of exercise Chrysler is a listed company, such consideration will be based on a market trading price.</t>
  </si>
  <si>
    <t>July 21, 2011</t>
  </si>
  <si>
    <t>Canada Gvt's ownership</t>
  </si>
  <si>
    <t>http://www.fcagroup.com/en-US/media_center/FiatDocuments/2011/July/Fiat_acquista_partecipazioni_in_Chrysler_del_Canada_e_del_Tesoro_Usa_ing.pdf</t>
  </si>
  <si>
    <t>http://www.fcagroup.com/en-US/media_center/FiatDocuments/2012/January/Fiat_increases_its_interest_in_Chrysler_Group_LLC_to_58,5_per_cent.pdf</t>
  </si>
  <si>
    <t>January 5, 2012</t>
  </si>
  <si>
    <t>http://www.fcagroup.com/en-US/media_center/FiatDocuments/2011/April/Agreement_to_increase_Fiat_stake_in_Chrysler.pdf</t>
  </si>
  <si>
    <t>Implied Co. Value</t>
  </si>
  <si>
    <t>No purchase price (1st Performance Event - see below)</t>
  </si>
  <si>
    <t>No purchase price (2nd Performance Event - see below)</t>
  </si>
  <si>
    <t>No purchase price (3rd Performance Event - see below)</t>
  </si>
  <si>
    <t>Historical Reference</t>
  </si>
  <si>
    <t>May 1998: Chrysler merges with Daimler</t>
  </si>
  <si>
    <t>May 2007: Sale of 80.1% of Chrysler to Cerberus (private equity); Daimler keeps 19.9%. Purchase price of $7,410 million for an implied company value of $9,251 million</t>
  </si>
  <si>
    <t>April 2009: Chapter 11 proceedings / FIAT, VEBA, US and Canadian governments new ownership</t>
  </si>
  <si>
    <t>FIAT Ownership</t>
  </si>
  <si>
    <t>Overall Ownership</t>
  </si>
  <si>
    <t>Starting point</t>
  </si>
  <si>
    <t>Diluted Basis</t>
  </si>
  <si>
    <t>Effective Basis</t>
  </si>
  <si>
    <t>Equity Call Option (see below)</t>
  </si>
  <si>
    <t>Notes on Performance Events / Equity Call Option</t>
  </si>
  <si>
    <t>Operating Metrics</t>
  </si>
  <si>
    <t>U.S.</t>
  </si>
  <si>
    <t>Canada</t>
  </si>
  <si>
    <t>Mexico</t>
  </si>
  <si>
    <t>ROW</t>
  </si>
  <si>
    <t>North America</t>
  </si>
  <si>
    <t>Vehicle Sales (Chrysler Market Share)</t>
  </si>
  <si>
    <t>Vehicle Sales (Chrysler) (%)</t>
  </si>
  <si>
    <t>Chrysler</t>
  </si>
  <si>
    <t>Vehicle Sales Market Share (U.S.)</t>
  </si>
  <si>
    <t>GM</t>
  </si>
  <si>
    <t>Ford</t>
  </si>
  <si>
    <t>Toyota</t>
  </si>
  <si>
    <t>Honda</t>
  </si>
  <si>
    <t>Hyundai / Kia</t>
  </si>
  <si>
    <t>Nissan</t>
  </si>
  <si>
    <t>Other</t>
  </si>
  <si>
    <t>Dealerships (in units)</t>
  </si>
  <si>
    <t>Employees (in units)</t>
  </si>
  <si>
    <t>Salaried</t>
  </si>
  <si>
    <t>Hourly</t>
  </si>
  <si>
    <t>Financial Statements</t>
  </si>
  <si>
    <t>Income Statement</t>
  </si>
  <si>
    <t>Revenues</t>
  </si>
  <si>
    <t>Cost of Sales</t>
  </si>
  <si>
    <t>Gross Margin</t>
  </si>
  <si>
    <t>Margin</t>
  </si>
  <si>
    <t>SG&amp;A</t>
  </si>
  <si>
    <t>R&amp;D</t>
  </si>
  <si>
    <t>Restructuring</t>
  </si>
  <si>
    <t>Net Interest</t>
  </si>
  <si>
    <t>Other Items</t>
  </si>
  <si>
    <t>EBT</t>
  </si>
  <si>
    <t>Taxes</t>
  </si>
  <si>
    <t>Net Income</t>
  </si>
  <si>
    <t>Non-controlling Interest</t>
  </si>
  <si>
    <t>Net Income to controlling interest</t>
  </si>
  <si>
    <t>Cash Flow Statement</t>
  </si>
  <si>
    <t>Operating Activities</t>
  </si>
  <si>
    <t>Investing Activities</t>
  </si>
  <si>
    <t>Purchase of PP&amp;E</t>
  </si>
  <si>
    <t>Proceeds from Disposals</t>
  </si>
  <si>
    <t>Purchase of Op. Leases</t>
  </si>
  <si>
    <t>Financing Activities</t>
  </si>
  <si>
    <t>Various Debts Repayments</t>
  </si>
  <si>
    <t>F / X</t>
  </si>
  <si>
    <t>Change in Cash</t>
  </si>
  <si>
    <t>Cash (Beginning)</t>
  </si>
  <si>
    <t>Cash (End)</t>
  </si>
  <si>
    <t>Balance Sheet</t>
  </si>
  <si>
    <t>Cash</t>
  </si>
  <si>
    <t>Restricted Cash</t>
  </si>
  <si>
    <t>Receivables</t>
  </si>
  <si>
    <t>Inventories</t>
  </si>
  <si>
    <t>Current Assets</t>
  </si>
  <si>
    <t>PP&amp;E</t>
  </si>
  <si>
    <t>Equipment on Op. Leases</t>
  </si>
  <si>
    <t>Goodwill</t>
  </si>
  <si>
    <t>Intangibles</t>
  </si>
  <si>
    <t>Total Assets</t>
  </si>
  <si>
    <t>Payables</t>
  </si>
  <si>
    <t>Current Debt</t>
  </si>
  <si>
    <t>Current Liabilities</t>
  </si>
  <si>
    <t>Debt</t>
  </si>
  <si>
    <t>Total Liabilities</t>
  </si>
  <si>
    <t>Equity</t>
  </si>
  <si>
    <t>Total Liabilities + Equity</t>
  </si>
  <si>
    <t>Depreciation &amp; Amortization</t>
  </si>
  <si>
    <t>Change in W / C</t>
  </si>
  <si>
    <t>--</t>
  </si>
  <si>
    <t>Modified EBITDA</t>
  </si>
  <si>
    <t>Less: SG&amp;A</t>
  </si>
  <si>
    <t>Less: R&amp;D</t>
  </si>
  <si>
    <t>Free Cash Flow</t>
  </si>
  <si>
    <t>Net Cash from Operating Activities</t>
  </si>
  <si>
    <t>Net Cash from Investing Activities</t>
  </si>
  <si>
    <t>Credit Metrics</t>
  </si>
  <si>
    <t>Total Debt</t>
  </si>
  <si>
    <t>Net Debt</t>
  </si>
  <si>
    <t>Net Debt / Modified EBITDA</t>
  </si>
  <si>
    <t>As a % of Revenues</t>
  </si>
  <si>
    <t>Vehicle Sales (Chrysler) (in 000 units)</t>
  </si>
  <si>
    <t>Vehicle Sales (Industry) (in 000 units)</t>
  </si>
  <si>
    <t>12/31/2014e</t>
  </si>
  <si>
    <t>12/31/2015e</t>
  </si>
  <si>
    <t>12/31/2016e</t>
  </si>
  <si>
    <t>12/31/2013e</t>
  </si>
  <si>
    <t>Vehicle Sales (Industry) Y / Y Growth</t>
  </si>
  <si>
    <t>Revenues / Vehicle Sold</t>
  </si>
  <si>
    <t>Tax Rate</t>
  </si>
  <si>
    <t>Plus: Net Depreciation &amp; Amortization</t>
  </si>
  <si>
    <t>As a % of Period-End Debt</t>
  </si>
  <si>
    <t>As a % of Purchase of PP&amp;E</t>
  </si>
  <si>
    <t>Days Receivables</t>
  </si>
  <si>
    <t>Days Inventory</t>
  </si>
  <si>
    <t>Days Payables</t>
  </si>
  <si>
    <t>LTM Sep. 2013</t>
  </si>
  <si>
    <t>9M Sep. 2012</t>
  </si>
  <si>
    <t>9M Sep. 2013</t>
  </si>
  <si>
    <t>105% of Net Dep. &amp; Amort</t>
  </si>
  <si>
    <t>Assumed to be zero over the forecast period</t>
  </si>
  <si>
    <t>Based on historical observations</t>
  </si>
  <si>
    <t>No F / X impact factored in valuation</t>
  </si>
  <si>
    <t>Notes on Assumptions</t>
  </si>
  <si>
    <t>Estimated debt repayment</t>
  </si>
  <si>
    <t>Estimated similar to 2012 over the forecast period</t>
  </si>
  <si>
    <t>Estimated similar to LTM over the forecast period</t>
  </si>
  <si>
    <t>Prior year PP&amp;E (-) D&amp;A (+) Investments in PP&amp;E</t>
  </si>
  <si>
    <t>Change in Equity</t>
  </si>
  <si>
    <t>Checks</t>
  </si>
  <si>
    <t>Assets = Liabilities + Equity</t>
  </si>
  <si>
    <t>Estimated to grow at 2% annually</t>
  </si>
  <si>
    <t>Total Capitalization</t>
  </si>
  <si>
    <t>WACC</t>
  </si>
  <si>
    <t>VEBA Trust Note</t>
  </si>
  <si>
    <t>Tranche B Term Loan</t>
  </si>
  <si>
    <t>Secured Senior Notes (2019)</t>
  </si>
  <si>
    <t>Secured Senior Notes (2021)</t>
  </si>
  <si>
    <t>Canadian Health Care Trust Notes (A)</t>
  </si>
  <si>
    <t>Canadian Health Care Trust Notes (B)</t>
  </si>
  <si>
    <t>Canadian Health Care Trust Notes (C)</t>
  </si>
  <si>
    <t>Mexican Dev. Banks Credit Facilities (2021)</t>
  </si>
  <si>
    <t>Mexican Dev. Banks Credit Facilities (2025)</t>
  </si>
  <si>
    <t>Fiat Finance North America (2012)</t>
  </si>
  <si>
    <t>Fiat Finance North America (2013)</t>
  </si>
  <si>
    <t>Capital Lease Obligations (1)</t>
  </si>
  <si>
    <t>Capital Lease Obligations (2)</t>
  </si>
  <si>
    <t>Other Items (1)</t>
  </si>
  <si>
    <t>Other Items (2)</t>
  </si>
  <si>
    <t>Weighted Average Rate</t>
  </si>
  <si>
    <t>Amount</t>
  </si>
  <si>
    <t>Rate</t>
  </si>
  <si>
    <t>Debt % of Capital Structure</t>
  </si>
  <si>
    <t>Equity % of Capital Structure</t>
  </si>
  <si>
    <t>Terminal Value</t>
  </si>
  <si>
    <t>12/31/2017e</t>
  </si>
  <si>
    <t>Ford Motor Company</t>
  </si>
  <si>
    <t>Company</t>
  </si>
  <si>
    <t>Year End</t>
  </si>
  <si>
    <t>Enterprise Value</t>
  </si>
  <si>
    <t>Currency</t>
  </si>
  <si>
    <t>USD</t>
  </si>
  <si>
    <t>EBITDA</t>
  </si>
  <si>
    <t>Multiple</t>
  </si>
  <si>
    <t>General Motors Company</t>
  </si>
  <si>
    <t>JPY</t>
  </si>
  <si>
    <t>Honda Motor Company Ltd</t>
  </si>
  <si>
    <t>Hyundai Motor Company</t>
  </si>
  <si>
    <t>Toyota Motor Corporation</t>
  </si>
  <si>
    <t>KRW</t>
  </si>
  <si>
    <t>Nissan Motor Company Ltd</t>
  </si>
  <si>
    <t>EUR</t>
  </si>
  <si>
    <t>Daimler AG</t>
  </si>
  <si>
    <t>BMW AG</t>
  </si>
  <si>
    <t>U.S. Comps Average</t>
  </si>
  <si>
    <t>International Comps Average</t>
  </si>
  <si>
    <t>Chrysler LTM EBITDA</t>
  </si>
  <si>
    <t>Less: Debt</t>
  </si>
  <si>
    <t>Plus: Cash</t>
  </si>
  <si>
    <t>Less: Pension Benefits</t>
  </si>
  <si>
    <t>Implied Equity Value</t>
  </si>
  <si>
    <t>Trading Multiples of Comparable Companies (in million)</t>
  </si>
  <si>
    <t>Chrysler Valuation - Summary</t>
  </si>
  <si>
    <t>Approach</t>
  </si>
  <si>
    <t>Trading Comparables</t>
  </si>
  <si>
    <t>Equity Value</t>
  </si>
  <si>
    <t>Average</t>
  </si>
  <si>
    <t>Implied Value of 41.5% Stake in Equity</t>
  </si>
  <si>
    <t>Trading Multiple</t>
  </si>
  <si>
    <t>Implied EV</t>
  </si>
  <si>
    <t>Using 4.0x LTM EBITDA (vs. 3.6x for U.S. comps and 6.9x for international comps)</t>
  </si>
  <si>
    <t>Use U.S. comps given that Chrysler sells approx. 80% of total vehicles in North America, but can see the upside when using international comps</t>
  </si>
  <si>
    <t>Precedent Transactions</t>
  </si>
  <si>
    <t>Average of three (3) transactions that occured in 2011</t>
  </si>
  <si>
    <t>Fiat SpA</t>
  </si>
  <si>
    <t>12/31/2018e</t>
  </si>
  <si>
    <t>Unleveraged Free Cash Flow</t>
  </si>
  <si>
    <t>Period</t>
  </si>
  <si>
    <t>EBIT</t>
  </si>
  <si>
    <t>Modified EBITDA / EBIT</t>
  </si>
  <si>
    <t>Modified EBIT</t>
  </si>
  <si>
    <t>Less: Tax</t>
  </si>
  <si>
    <t>After-Tax EBIT</t>
  </si>
  <si>
    <t>Plus: Depreciation &amp; Amortization</t>
  </si>
  <si>
    <t>Less: CAPEX</t>
  </si>
  <si>
    <t>Change in Working Capital</t>
  </si>
  <si>
    <t>Present Value of Unleveraged Free Cash Flow</t>
  </si>
  <si>
    <t>Less: Minority Interest</t>
  </si>
  <si>
    <t>Discounted Cash Flow</t>
  </si>
  <si>
    <t>Less: Pension Deficit</t>
  </si>
  <si>
    <t>WACC Calculations</t>
  </si>
  <si>
    <t>Instrument</t>
  </si>
  <si>
    <t>Y / Y Growth Rate</t>
  </si>
  <si>
    <t>After-tax Cost of Debt</t>
  </si>
  <si>
    <t>Risk Free Rate</t>
  </si>
  <si>
    <t>Cost of Equity (CAPM)</t>
  </si>
  <si>
    <t>Equity (CAPM)</t>
  </si>
  <si>
    <t>Market Returns</t>
  </si>
  <si>
    <t>Beta</t>
  </si>
  <si>
    <t>30-year U.S. Treasury Yield as of December 31, 2013</t>
  </si>
  <si>
    <t>30-year average S&amp;P 500 returns to December 31, 2013</t>
  </si>
  <si>
    <t>Terminal growth rate assumption, similar to IPO filing documents</t>
  </si>
  <si>
    <t>Management Estimates of WACC (as per IPO filing documents)</t>
  </si>
  <si>
    <t>Low</t>
  </si>
  <si>
    <t>High</t>
  </si>
  <si>
    <t>Control Premium</t>
  </si>
  <si>
    <t>Adjusted Value</t>
  </si>
  <si>
    <t>Capital Structure</t>
  </si>
  <si>
    <t>Today</t>
  </si>
  <si>
    <t>Target</t>
  </si>
  <si>
    <t>Comps (Debt % of Capital Structure)</t>
  </si>
  <si>
    <t>U.S. federal statutory tax rate of 35%</t>
  </si>
  <si>
    <t>U.S. federal statutory tax rate</t>
  </si>
  <si>
    <t>Implied equity beta so that WACC is similar to management's estimates</t>
  </si>
  <si>
    <t>Five-year DCF with terminal value @ 2% growth rate; implied equity beta of 3.6</t>
  </si>
  <si>
    <t>The above compares to the agreed purchase price of $3,650 million + $700 million in pension plan instalments over 4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</si>
</sst>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_);\(&quot;$&quot;#,##0\)"/>
    <numFmt numFmtId="7" formatCode="&quot;$&quot;#,##0.00_);\(&quot;$&quot;#,##0.00\)"/>
    <numFmt numFmtId="164" formatCode="&quot;$&quot;#,##0_);\(&quot;$&quot;#,##0\);\-_)"/>
    <numFmt numFmtId="165" formatCode="0.0%"/>
    <numFmt numFmtId="166" formatCode="#,##0_);\(#,##0\);\-_)"/>
    <numFmt numFmtId="167" formatCode="0.0%;\(\2.0%\);\-_)"/>
    <numFmt numFmtId="168" formatCode="0.0000000%"/>
    <numFmt numFmtId="169" formatCode="0.000000000%"/>
    <numFmt numFmtId="170" formatCode="0.00\x"/>
    <numFmt numFmtId="171" formatCode="0.0%;\(0.0%\);\-_)"/>
    <numFmt numFmtId="172" formatCode="0.0&quot; days&quot;"/>
    <numFmt numFmtId="173" formatCode="&quot;Year&quot;\ 0"/>
    <numFmt numFmtId="174" formatCode="[$-409]mmmm\ d\,\ yyyy;@"/>
    <numFmt numFmtId="175" formatCode="0.0\x"/>
    <numFmt numFmtId="176" formatCode="[$¥-411]#,##0;\-[$¥-411]#,##0"/>
    <numFmt numFmtId="177" formatCode="[$₩-412]#,##0;\-[$₩-412]#,##0"/>
    <numFmt numFmtId="178" formatCode="[$€-2]\ #,##0_);\([$€-2]\ #,##0\)"/>
    <numFmt numFmtId="179" formatCode="#,##0.0_);\(#,##0.0\)"/>
  </numFmts>
  <fonts count="27" x14ac:knownFonts="1">
    <font>
      <sz val="11"/>
      <color theme="1"/>
      <name val="Trebuchet MS"/>
      <family val="2"/>
      <scheme val="minor"/>
    </font>
    <font>
      <u/>
      <sz val="11"/>
      <color theme="10"/>
      <name val="Trebuchet MS"/>
      <family val="2"/>
      <scheme val="minor"/>
    </font>
    <font>
      <sz val="11"/>
      <color theme="1"/>
      <name val="Trebuchet MS"/>
      <family val="2"/>
      <scheme val="minor"/>
    </font>
    <font>
      <sz val="8"/>
      <color theme="1"/>
      <name val="Trebuchet MS"/>
      <family val="2"/>
      <scheme val="minor"/>
    </font>
    <font>
      <sz val="8"/>
      <name val="Trebuchet MS"/>
      <family val="2"/>
      <scheme val="minor"/>
    </font>
    <font>
      <b/>
      <sz val="8"/>
      <color theme="0"/>
      <name val="Trebuchet MS"/>
      <family val="2"/>
      <scheme val="minor"/>
    </font>
    <font>
      <b/>
      <u val="singleAccounting"/>
      <sz val="8"/>
      <color theme="1"/>
      <name val="Trebuchet MS"/>
      <family val="2"/>
      <scheme val="minor"/>
    </font>
    <font>
      <sz val="8"/>
      <color rgb="FF0000FF"/>
      <name val="Trebuchet MS"/>
      <family val="2"/>
      <scheme val="minor"/>
    </font>
    <font>
      <i/>
      <sz val="8"/>
      <color theme="1"/>
      <name val="Trebuchet MS"/>
      <family val="2"/>
      <scheme val="minor"/>
    </font>
    <font>
      <u/>
      <sz val="8"/>
      <color theme="1"/>
      <name val="Trebuchet MS"/>
      <family val="2"/>
      <scheme val="minor"/>
    </font>
    <font>
      <b/>
      <sz val="8"/>
      <color theme="1"/>
      <name val="Trebuchet MS"/>
      <family val="2"/>
      <scheme val="minor"/>
    </font>
    <font>
      <b/>
      <sz val="8"/>
      <color rgb="FF0000FF"/>
      <name val="Trebuchet MS"/>
      <family val="2"/>
      <scheme val="minor"/>
    </font>
    <font>
      <b/>
      <sz val="8"/>
      <name val="Trebuchet MS"/>
      <family val="2"/>
      <scheme val="minor"/>
    </font>
    <font>
      <i/>
      <sz val="8"/>
      <color theme="4"/>
      <name val="Trebuchet MS"/>
      <family val="2"/>
      <scheme val="minor"/>
    </font>
    <font>
      <i/>
      <sz val="8"/>
      <color rgb="FF0000FF"/>
      <name val="Trebuchet MS"/>
      <family val="2"/>
      <scheme val="minor"/>
    </font>
    <font>
      <b/>
      <i/>
      <sz val="8"/>
      <color theme="4"/>
      <name val="Trebuchet MS"/>
      <family val="2"/>
      <scheme val="minor"/>
    </font>
    <font>
      <b/>
      <u/>
      <sz val="8"/>
      <color theme="1"/>
      <name val="Trebuchet MS"/>
      <family val="2"/>
      <scheme val="minor"/>
    </font>
    <font>
      <sz val="8"/>
      <color theme="0"/>
      <name val="Trebuchet MS"/>
      <family val="2"/>
      <scheme val="minor"/>
    </font>
    <font>
      <b/>
      <i/>
      <sz val="8"/>
      <color theme="0"/>
      <name val="Trebuchet MS"/>
      <family val="2"/>
      <scheme val="minor"/>
    </font>
    <font>
      <b/>
      <u/>
      <sz val="8"/>
      <name val="Trebuchet MS"/>
      <family val="2"/>
      <scheme val="minor"/>
    </font>
    <font>
      <sz val="8"/>
      <name val="Trebuchet MS"/>
      <family val="2"/>
    </font>
    <font>
      <b/>
      <u/>
      <sz val="8"/>
      <name val="Trebuchet MS"/>
      <family val="2"/>
    </font>
    <font>
      <u/>
      <sz val="8"/>
      <name val="Trebuchet MS"/>
      <family val="2"/>
    </font>
    <font>
      <sz val="8"/>
      <color rgb="FF0000FF"/>
      <name val="Trebuchet MS"/>
      <family val="2"/>
    </font>
    <font>
      <u/>
      <sz val="8"/>
      <name val="Trebuchet MS"/>
      <family val="2"/>
      <scheme val="minor"/>
    </font>
    <font>
      <u/>
      <sz val="8"/>
      <color theme="10"/>
      <name val="Trebuchet MS"/>
      <family val="2"/>
      <scheme val="minor"/>
    </font>
    <font>
      <b/>
      <sz val="8"/>
      <color theme="0"/>
      <name val="Trebuchet MS"/>
      <family val="2"/>
    </font>
  </fonts>
  <fills count="10">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0" tint="-0.14996795556505021"/>
        <bgColor indexed="64"/>
      </patternFill>
    </fill>
  </fills>
  <borders count="15">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Dashed">
        <color theme="4"/>
      </right>
      <top style="mediumDashed">
        <color theme="4"/>
      </top>
      <bottom style="mediumDashed">
        <color theme="4"/>
      </bottom>
      <diagonal/>
    </border>
    <border>
      <left/>
      <right style="mediumDashed">
        <color theme="4"/>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3">
    <xf numFmtId="0" fontId="0" fillId="0" borderId="0"/>
    <xf numFmtId="0" fontId="1" fillId="0" borderId="0" applyNumberFormat="0" applyFill="0" applyBorder="0" applyAlignment="0" applyProtection="0"/>
    <xf numFmtId="9" fontId="2" fillId="0" borderId="0" applyFont="0" applyFill="0" applyBorder="0" applyAlignment="0" applyProtection="0"/>
  </cellStyleXfs>
  <cellXfs count="178">
    <xf numFmtId="0" fontId="0" fillId="0" borderId="0" xfId="0"/>
    <xf numFmtId="0" fontId="3" fillId="0" borderId="0" xfId="0" applyFont="1"/>
    <xf numFmtId="0" fontId="5" fillId="4" borderId="0" xfId="0" applyFont="1" applyFill="1" applyAlignment="1">
      <alignment horizontal="centerContinuous" vertical="center"/>
    </xf>
    <xf numFmtId="0" fontId="6" fillId="0" borderId="0" xfId="0" applyFont="1"/>
    <xf numFmtId="14" fontId="6" fillId="0" borderId="0" xfId="0" applyNumberFormat="1" applyFont="1"/>
    <xf numFmtId="166" fontId="3" fillId="0" borderId="0" xfId="0" applyNumberFormat="1" applyFont="1"/>
    <xf numFmtId="166" fontId="3" fillId="0" borderId="0" xfId="0" applyNumberFormat="1" applyFont="1" applyBorder="1"/>
    <xf numFmtId="166" fontId="3" fillId="0" borderId="1" xfId="0" applyNumberFormat="1" applyFont="1" applyBorder="1"/>
    <xf numFmtId="166" fontId="4" fillId="0" borderId="0" xfId="0" applyNumberFormat="1" applyFont="1"/>
    <xf numFmtId="166" fontId="7" fillId="0" borderId="0" xfId="0" applyNumberFormat="1" applyFont="1"/>
    <xf numFmtId="166" fontId="7" fillId="0" borderId="0" xfId="0" applyNumberFormat="1" applyFont="1" applyBorder="1"/>
    <xf numFmtId="0" fontId="6" fillId="5" borderId="0" xfId="0" applyFont="1" applyFill="1"/>
    <xf numFmtId="167" fontId="4" fillId="0" borderId="0" xfId="0" applyNumberFormat="1" applyFont="1"/>
    <xf numFmtId="14" fontId="6" fillId="0" borderId="0" xfId="0" applyNumberFormat="1" applyFont="1" applyAlignment="1">
      <alignment horizontal="right"/>
    </xf>
    <xf numFmtId="165" fontId="3" fillId="0" borderId="0" xfId="2" applyNumberFormat="1" applyFont="1"/>
    <xf numFmtId="167" fontId="3" fillId="0" borderId="0" xfId="0" applyNumberFormat="1" applyFont="1" applyBorder="1"/>
    <xf numFmtId="167" fontId="7" fillId="0" borderId="0" xfId="0" applyNumberFormat="1" applyFont="1" applyBorder="1"/>
    <xf numFmtId="164" fontId="3" fillId="0" borderId="0" xfId="0" applyNumberFormat="1" applyFont="1"/>
    <xf numFmtId="164" fontId="7" fillId="0" borderId="0" xfId="0" applyNumberFormat="1" applyFont="1"/>
    <xf numFmtId="0" fontId="8" fillId="0" borderId="0" xfId="0" applyFont="1"/>
    <xf numFmtId="164" fontId="4" fillId="0" borderId="0" xfId="0" applyNumberFormat="1" applyFont="1"/>
    <xf numFmtId="7" fontId="3" fillId="0" borderId="0" xfId="0" applyNumberFormat="1" applyFont="1"/>
    <xf numFmtId="168" fontId="3" fillId="0" borderId="0" xfId="2" applyNumberFormat="1" applyFont="1"/>
    <xf numFmtId="0" fontId="9" fillId="0" borderId="0" xfId="0" applyFont="1"/>
    <xf numFmtId="0" fontId="3" fillId="0" borderId="0" xfId="0" applyFont="1" applyAlignment="1">
      <alignment horizontal="right"/>
    </xf>
    <xf numFmtId="169" fontId="3" fillId="0" borderId="0" xfId="2" applyNumberFormat="1" applyFont="1"/>
    <xf numFmtId="164" fontId="7" fillId="0" borderId="0" xfId="0" quotePrefix="1" applyNumberFormat="1" applyFont="1" applyAlignment="1">
      <alignment horizontal="right"/>
    </xf>
    <xf numFmtId="0" fontId="10" fillId="0" borderId="0" xfId="0" applyFont="1"/>
    <xf numFmtId="164" fontId="11" fillId="0" borderId="0" xfId="0" applyNumberFormat="1" applyFont="1"/>
    <xf numFmtId="164" fontId="12" fillId="0" borderId="0" xfId="0" applyNumberFormat="1" applyFont="1"/>
    <xf numFmtId="164" fontId="10" fillId="0" borderId="0" xfId="0" applyNumberFormat="1" applyFont="1"/>
    <xf numFmtId="0" fontId="13" fillId="0" borderId="0" xfId="0" applyFont="1" applyAlignment="1">
      <alignment horizontal="left" indent="1"/>
    </xf>
    <xf numFmtId="164" fontId="3" fillId="0" borderId="0" xfId="0" applyNumberFormat="1" applyFont="1" applyFill="1"/>
    <xf numFmtId="166" fontId="3" fillId="0" borderId="1" xfId="0" applyNumberFormat="1" applyFont="1" applyFill="1" applyBorder="1"/>
    <xf numFmtId="164" fontId="7" fillId="0" borderId="0" xfId="0" applyNumberFormat="1" applyFont="1" applyFill="1"/>
    <xf numFmtId="170" fontId="13" fillId="0" borderId="0" xfId="0" applyNumberFormat="1" applyFont="1"/>
    <xf numFmtId="171" fontId="13" fillId="0" borderId="0" xfId="0" applyNumberFormat="1" applyFont="1"/>
    <xf numFmtId="171" fontId="4" fillId="0" borderId="0" xfId="0" applyNumberFormat="1" applyFont="1"/>
    <xf numFmtId="171" fontId="3" fillId="0" borderId="1" xfId="0" applyNumberFormat="1" applyFont="1" applyBorder="1"/>
    <xf numFmtId="171" fontId="3" fillId="0" borderId="0" xfId="0" applyNumberFormat="1" applyFont="1"/>
    <xf numFmtId="171" fontId="7" fillId="0" borderId="0" xfId="0" applyNumberFormat="1" applyFont="1"/>
    <xf numFmtId="171" fontId="3" fillId="0" borderId="0" xfId="0" applyNumberFormat="1" applyFont="1" applyBorder="1"/>
    <xf numFmtId="171" fontId="6" fillId="0" borderId="0" xfId="0" applyNumberFormat="1" applyFont="1"/>
    <xf numFmtId="171" fontId="6" fillId="0" borderId="0" xfId="0" applyNumberFormat="1" applyFont="1" applyAlignment="1">
      <alignment horizontal="right"/>
    </xf>
    <xf numFmtId="14" fontId="6" fillId="0" borderId="0" xfId="0" applyNumberFormat="1" applyFont="1" applyFill="1" applyAlignment="1">
      <alignment horizontal="right"/>
    </xf>
    <xf numFmtId="5" fontId="13" fillId="0" borderId="0" xfId="0" applyNumberFormat="1" applyFont="1"/>
    <xf numFmtId="5" fontId="14" fillId="6" borderId="0" xfId="0" applyNumberFormat="1" applyFont="1" applyFill="1"/>
    <xf numFmtId="171" fontId="14" fillId="6" borderId="0" xfId="0" applyNumberFormat="1" applyFont="1" applyFill="1"/>
    <xf numFmtId="164" fontId="7" fillId="6" borderId="0" xfId="0" applyNumberFormat="1" applyFont="1" applyFill="1"/>
    <xf numFmtId="164" fontId="7" fillId="6" borderId="0" xfId="0" quotePrefix="1" applyNumberFormat="1" applyFont="1" applyFill="1" applyAlignment="1">
      <alignment horizontal="right"/>
    </xf>
    <xf numFmtId="171" fontId="13" fillId="0" borderId="0" xfId="0" applyNumberFormat="1" applyFont="1" applyAlignment="1">
      <alignment horizontal="right"/>
    </xf>
    <xf numFmtId="5" fontId="7" fillId="6" borderId="0" xfId="0" applyNumberFormat="1" applyFont="1" applyFill="1"/>
    <xf numFmtId="0" fontId="3" fillId="0" borderId="0" xfId="0" applyFont="1" applyFill="1"/>
    <xf numFmtId="171" fontId="3" fillId="0" borderId="1" xfId="0" applyNumberFormat="1" applyFont="1" applyFill="1" applyBorder="1"/>
    <xf numFmtId="171" fontId="4" fillId="0" borderId="0" xfId="0" applyNumberFormat="1" applyFont="1" applyFill="1"/>
    <xf numFmtId="171" fontId="3" fillId="0" borderId="0" xfId="0" applyNumberFormat="1" applyFont="1" applyFill="1"/>
    <xf numFmtId="171" fontId="6" fillId="0" borderId="0" xfId="0" applyNumberFormat="1" applyFont="1" applyFill="1" applyAlignment="1">
      <alignment horizontal="right"/>
    </xf>
    <xf numFmtId="171" fontId="7" fillId="6" borderId="0" xfId="0" applyNumberFormat="1" applyFont="1" applyFill="1"/>
    <xf numFmtId="0" fontId="13" fillId="0" borderId="0" xfId="0" applyFont="1" applyAlignment="1">
      <alignment horizontal="left"/>
    </xf>
    <xf numFmtId="172" fontId="13" fillId="0" borderId="0" xfId="0" applyNumberFormat="1" applyFont="1"/>
    <xf numFmtId="172" fontId="14" fillId="6" borderId="0" xfId="0" applyNumberFormat="1" applyFont="1" applyFill="1"/>
    <xf numFmtId="164" fontId="4" fillId="7" borderId="0" xfId="0" applyNumberFormat="1" applyFont="1" applyFill="1"/>
    <xf numFmtId="164" fontId="4" fillId="0" borderId="0" xfId="0" applyNumberFormat="1" applyFont="1" applyFill="1"/>
    <xf numFmtId="165" fontId="13" fillId="0" borderId="0" xfId="2" applyNumberFormat="1" applyFont="1"/>
    <xf numFmtId="14" fontId="10" fillId="0" borderId="0" xfId="0" applyNumberFormat="1" applyFont="1" applyAlignment="1">
      <alignment horizontal="right"/>
    </xf>
    <xf numFmtId="175" fontId="3" fillId="0" borderId="0" xfId="0" applyNumberFormat="1" applyFont="1" applyAlignment="1">
      <alignment horizontal="center"/>
    </xf>
    <xf numFmtId="0" fontId="6" fillId="0" borderId="0" xfId="0" applyFont="1" applyAlignment="1">
      <alignment horizontal="center"/>
    </xf>
    <xf numFmtId="174" fontId="3" fillId="0" borderId="0" xfId="0" applyNumberFormat="1" applyFont="1" applyAlignment="1">
      <alignment horizontal="center"/>
    </xf>
    <xf numFmtId="164" fontId="3" fillId="0" borderId="0" xfId="0" applyNumberFormat="1" applyFont="1" applyAlignment="1">
      <alignment horizontal="center"/>
    </xf>
    <xf numFmtId="0" fontId="3" fillId="0" borderId="0" xfId="0" applyFont="1" applyAlignment="1">
      <alignment horizontal="center"/>
    </xf>
    <xf numFmtId="176" fontId="3" fillId="0" borderId="0" xfId="0" applyNumberFormat="1" applyFont="1" applyAlignment="1">
      <alignment horizontal="center"/>
    </xf>
    <xf numFmtId="177" fontId="3" fillId="0" borderId="0" xfId="0" applyNumberFormat="1" applyFont="1" applyAlignment="1">
      <alignment horizontal="center"/>
    </xf>
    <xf numFmtId="178" fontId="3" fillId="0" borderId="0" xfId="0" applyNumberFormat="1" applyFont="1" applyAlignment="1">
      <alignment horizontal="center"/>
    </xf>
    <xf numFmtId="0" fontId="3" fillId="0" borderId="0" xfId="0" applyFont="1" applyBorder="1"/>
    <xf numFmtId="174" fontId="3" fillId="0" borderId="0" xfId="0" applyNumberFormat="1" applyFont="1" applyBorder="1" applyAlignment="1">
      <alignment horizontal="center"/>
    </xf>
    <xf numFmtId="164" fontId="3" fillId="0" borderId="0" xfId="0" applyNumberFormat="1" applyFont="1" applyBorder="1" applyAlignment="1">
      <alignment horizontal="center"/>
    </xf>
    <xf numFmtId="175" fontId="3" fillId="0" borderId="0" xfId="0" applyNumberFormat="1" applyFont="1" applyBorder="1" applyAlignment="1">
      <alignment horizontal="center"/>
    </xf>
    <xf numFmtId="0" fontId="3" fillId="0" borderId="1" xfId="0" applyFont="1" applyBorder="1"/>
    <xf numFmtId="174" fontId="3" fillId="0" borderId="1" xfId="0" applyNumberFormat="1" applyFont="1" applyBorder="1" applyAlignment="1">
      <alignment horizontal="center"/>
    </xf>
    <xf numFmtId="164" fontId="3" fillId="0" borderId="1" xfId="0" applyNumberFormat="1" applyFont="1" applyBorder="1" applyAlignment="1">
      <alignment horizontal="center"/>
    </xf>
    <xf numFmtId="175" fontId="3" fillId="0" borderId="1" xfId="0" applyNumberFormat="1" applyFont="1" applyBorder="1" applyAlignment="1">
      <alignment horizontal="center"/>
    </xf>
    <xf numFmtId="0" fontId="10" fillId="2" borderId="0" xfId="0" applyFont="1" applyFill="1"/>
    <xf numFmtId="174" fontId="10" fillId="2" borderId="0" xfId="0" applyNumberFormat="1" applyFont="1" applyFill="1" applyAlignment="1">
      <alignment horizontal="center"/>
    </xf>
    <xf numFmtId="164" fontId="10" fillId="2" borderId="0" xfId="0" applyNumberFormat="1" applyFont="1" applyFill="1" applyAlignment="1">
      <alignment horizontal="center"/>
    </xf>
    <xf numFmtId="175" fontId="10" fillId="2" borderId="0" xfId="0" applyNumberFormat="1" applyFont="1" applyFill="1" applyAlignment="1">
      <alignment horizontal="center"/>
    </xf>
    <xf numFmtId="164" fontId="10" fillId="2" borderId="4" xfId="0" applyNumberFormat="1" applyFont="1" applyFill="1" applyBorder="1" applyAlignment="1">
      <alignment horizontal="center"/>
    </xf>
    <xf numFmtId="164" fontId="4" fillId="0" borderId="0" xfId="0" applyNumberFormat="1" applyFont="1" applyAlignment="1">
      <alignment horizontal="center"/>
    </xf>
    <xf numFmtId="164" fontId="4" fillId="0" borderId="1" xfId="0" applyNumberFormat="1" applyFont="1" applyBorder="1" applyAlignment="1">
      <alignment horizontal="center"/>
    </xf>
    <xf numFmtId="0" fontId="10" fillId="0" borderId="0" xfId="0" applyFont="1" applyFill="1" applyBorder="1"/>
    <xf numFmtId="164" fontId="12" fillId="0" borderId="0" xfId="0" applyNumberFormat="1" applyFont="1" applyFill="1" applyBorder="1" applyAlignment="1">
      <alignment horizontal="center"/>
    </xf>
    <xf numFmtId="0" fontId="3" fillId="0" borderId="0" xfId="0" applyFont="1" applyFill="1" applyBorder="1"/>
    <xf numFmtId="0" fontId="3" fillId="0" borderId="0" xfId="0" applyFont="1" applyAlignment="1">
      <alignment vertical="center"/>
    </xf>
    <xf numFmtId="0" fontId="3" fillId="0" borderId="0" xfId="0" applyFont="1" applyFill="1" applyBorder="1" applyAlignment="1">
      <alignment horizontal="center"/>
    </xf>
    <xf numFmtId="164" fontId="3" fillId="0" borderId="0" xfId="0" applyNumberFormat="1" applyFont="1" applyFill="1" applyBorder="1" applyAlignment="1">
      <alignment horizontal="center"/>
    </xf>
    <xf numFmtId="164" fontId="4" fillId="0" borderId="0" xfId="0" applyNumberFormat="1" applyFont="1" applyFill="1" applyBorder="1" applyAlignment="1">
      <alignment horizontal="center"/>
    </xf>
    <xf numFmtId="164" fontId="3" fillId="0" borderId="0" xfId="0" applyNumberFormat="1" applyFont="1" applyFill="1" applyBorder="1" applyAlignment="1">
      <alignment horizontal="left"/>
    </xf>
    <xf numFmtId="0" fontId="3" fillId="0" borderId="0" xfId="0" applyFont="1" applyFill="1" applyBorder="1" applyAlignment="1">
      <alignment horizontal="left"/>
    </xf>
    <xf numFmtId="0" fontId="3" fillId="0" borderId="1" xfId="0" applyFont="1" applyFill="1" applyBorder="1" applyAlignment="1">
      <alignment horizontal="center"/>
    </xf>
    <xf numFmtId="0" fontId="10" fillId="2" borderId="3" xfId="0" applyFont="1" applyFill="1" applyBorder="1" applyAlignment="1">
      <alignment horizontal="left"/>
    </xf>
    <xf numFmtId="164" fontId="10" fillId="2" borderId="5" xfId="0" applyNumberFormat="1" applyFont="1" applyFill="1" applyBorder="1" applyAlignment="1">
      <alignment horizontal="center"/>
    </xf>
    <xf numFmtId="164" fontId="10" fillId="2" borderId="6" xfId="0" applyNumberFormat="1" applyFont="1" applyFill="1" applyBorder="1" applyAlignment="1">
      <alignment horizontal="center"/>
    </xf>
    <xf numFmtId="0" fontId="10" fillId="0" borderId="0" xfId="0" applyFont="1" applyAlignment="1">
      <alignment horizontal="center"/>
    </xf>
    <xf numFmtId="164" fontId="10" fillId="2" borderId="7" xfId="0" applyNumberFormat="1" applyFont="1" applyFill="1" applyBorder="1" applyAlignment="1">
      <alignment horizontal="center"/>
    </xf>
    <xf numFmtId="171" fontId="15" fillId="0" borderId="0" xfId="0" applyNumberFormat="1" applyFont="1"/>
    <xf numFmtId="5" fontId="3" fillId="0" borderId="0" xfId="0" applyNumberFormat="1" applyFont="1"/>
    <xf numFmtId="5" fontId="3" fillId="0" borderId="0" xfId="0" applyNumberFormat="1" applyFont="1" applyBorder="1"/>
    <xf numFmtId="0" fontId="16" fillId="0" borderId="0" xfId="0" applyFont="1"/>
    <xf numFmtId="0" fontId="10" fillId="0" borderId="1" xfId="0" applyFont="1" applyBorder="1"/>
    <xf numFmtId="175" fontId="10" fillId="0" borderId="1" xfId="0" applyNumberFormat="1" applyFont="1" applyBorder="1" applyAlignment="1">
      <alignment horizontal="center"/>
    </xf>
    <xf numFmtId="0" fontId="3" fillId="0" borderId="0" xfId="0" applyFont="1" applyAlignment="1">
      <alignment horizontal="left" indent="1"/>
    </xf>
    <xf numFmtId="0" fontId="6" fillId="0" borderId="0" xfId="0" applyFont="1" applyAlignment="1">
      <alignment horizontal="centerContinuous"/>
    </xf>
    <xf numFmtId="0" fontId="3" fillId="0" borderId="0" xfId="0" applyFont="1" applyAlignment="1">
      <alignment horizontal="left"/>
    </xf>
    <xf numFmtId="0" fontId="16" fillId="0" borderId="0" xfId="0" applyFont="1" applyAlignment="1">
      <alignment horizontal="center"/>
    </xf>
    <xf numFmtId="164" fontId="7" fillId="0" borderId="0" xfId="0" applyNumberFormat="1" applyFont="1" applyAlignment="1">
      <alignment horizontal="center"/>
    </xf>
    <xf numFmtId="10" fontId="7" fillId="0" borderId="0" xfId="2" applyNumberFormat="1" applyFont="1" applyAlignment="1">
      <alignment horizontal="center"/>
    </xf>
    <xf numFmtId="166" fontId="3" fillId="0" borderId="1" xfId="0" applyNumberFormat="1" applyFont="1" applyBorder="1" applyAlignment="1">
      <alignment horizontal="center"/>
    </xf>
    <xf numFmtId="10" fontId="4" fillId="0" borderId="0" xfId="2" applyNumberFormat="1" applyFont="1" applyAlignment="1">
      <alignment horizontal="center"/>
    </xf>
    <xf numFmtId="165" fontId="13" fillId="0" borderId="0" xfId="2" applyNumberFormat="1" applyFont="1" applyAlignment="1">
      <alignment horizontal="center"/>
    </xf>
    <xf numFmtId="0" fontId="3" fillId="2" borderId="4" xfId="0" applyFont="1" applyFill="1" applyBorder="1" applyAlignment="1">
      <alignment horizontal="center"/>
    </xf>
    <xf numFmtId="165" fontId="13" fillId="8" borderId="0" xfId="2" applyNumberFormat="1" applyFont="1" applyFill="1"/>
    <xf numFmtId="164" fontId="17" fillId="0" borderId="0" xfId="0" applyNumberFormat="1" applyFont="1"/>
    <xf numFmtId="171" fontId="18" fillId="0" borderId="0" xfId="0" applyNumberFormat="1" applyFont="1"/>
    <xf numFmtId="5" fontId="17" fillId="0" borderId="0" xfId="0" applyNumberFormat="1" applyFont="1"/>
    <xf numFmtId="5" fontId="17" fillId="0" borderId="0" xfId="0" applyNumberFormat="1" applyFont="1" applyBorder="1"/>
    <xf numFmtId="0" fontId="17" fillId="0" borderId="1" xfId="0" applyFont="1" applyBorder="1"/>
    <xf numFmtId="165" fontId="12" fillId="2" borderId="2" xfId="2" applyNumberFormat="1" applyFont="1" applyFill="1" applyBorder="1" applyAlignment="1">
      <alignment horizontal="center"/>
    </xf>
    <xf numFmtId="10" fontId="12" fillId="2" borderId="5" xfId="2" applyNumberFormat="1" applyFont="1" applyFill="1" applyBorder="1" applyAlignment="1">
      <alignment horizontal="center"/>
    </xf>
    <xf numFmtId="173" fontId="3" fillId="0" borderId="0" xfId="0" applyNumberFormat="1" applyFont="1" applyAlignment="1">
      <alignment horizontal="right"/>
    </xf>
    <xf numFmtId="165" fontId="7" fillId="0" borderId="0" xfId="2" quotePrefix="1" applyNumberFormat="1" applyFont="1" applyAlignment="1">
      <alignment horizontal="center"/>
    </xf>
    <xf numFmtId="15" fontId="16" fillId="0" borderId="0" xfId="0" quotePrefix="1" applyNumberFormat="1" applyFont="1"/>
    <xf numFmtId="165" fontId="3" fillId="0" borderId="0" xfId="0" applyNumberFormat="1" applyFont="1" applyAlignment="1">
      <alignment horizontal="center"/>
    </xf>
    <xf numFmtId="165" fontId="19" fillId="0" borderId="0" xfId="2" applyNumberFormat="1" applyFont="1" applyAlignment="1">
      <alignment horizontal="center"/>
    </xf>
    <xf numFmtId="0" fontId="10" fillId="9" borderId="8" xfId="0" applyFont="1" applyFill="1" applyBorder="1" applyAlignment="1">
      <alignment vertical="center"/>
    </xf>
    <xf numFmtId="165" fontId="3" fillId="9" borderId="11" xfId="0" applyNumberFormat="1" applyFont="1" applyFill="1" applyBorder="1" applyAlignment="1">
      <alignment horizontal="center" vertical="center"/>
    </xf>
    <xf numFmtId="5" fontId="10" fillId="9" borderId="13" xfId="0" applyNumberFormat="1" applyFont="1" applyFill="1" applyBorder="1" applyAlignment="1">
      <alignment horizontal="center" vertical="center"/>
    </xf>
    <xf numFmtId="0" fontId="20" fillId="0" borderId="0" xfId="0" applyFont="1" applyAlignment="1"/>
    <xf numFmtId="0" fontId="20" fillId="0" borderId="0" xfId="0" applyFont="1" applyAlignment="1">
      <alignment horizontal="center"/>
    </xf>
    <xf numFmtId="0" fontId="20" fillId="0" borderId="0" xfId="0" applyFont="1" applyAlignment="1">
      <alignment horizontal="left"/>
    </xf>
    <xf numFmtId="0" fontId="21" fillId="3" borderId="0" xfId="0" applyFont="1" applyFill="1" applyAlignment="1"/>
    <xf numFmtId="0" fontId="22" fillId="0" borderId="0" xfId="0" applyFont="1" applyAlignment="1">
      <alignment vertical="center"/>
    </xf>
    <xf numFmtId="0" fontId="22" fillId="0" borderId="0" xfId="0" applyFont="1" applyAlignment="1">
      <alignment horizontal="center" vertical="center"/>
    </xf>
    <xf numFmtId="0" fontId="22" fillId="2" borderId="0" xfId="0" applyFont="1" applyFill="1" applyAlignment="1">
      <alignment horizontal="center" vertical="center"/>
    </xf>
    <xf numFmtId="0" fontId="22" fillId="0" borderId="0" xfId="0" applyFont="1" applyAlignment="1">
      <alignment horizontal="left" vertical="center"/>
    </xf>
    <xf numFmtId="0" fontId="20" fillId="0" borderId="0" xfId="0" applyFont="1" applyAlignment="1">
      <alignment vertical="center"/>
    </xf>
    <xf numFmtId="0" fontId="20" fillId="0" borderId="0" xfId="0" quotePrefix="1" applyFont="1" applyAlignment="1">
      <alignment vertical="center"/>
    </xf>
    <xf numFmtId="165" fontId="23" fillId="0" borderId="0" xfId="0" applyNumberFormat="1" applyFont="1" applyAlignment="1">
      <alignment horizontal="center" vertical="center"/>
    </xf>
    <xf numFmtId="165" fontId="20" fillId="2" borderId="0" xfId="0" applyNumberFormat="1" applyFont="1" applyFill="1" applyAlignment="1">
      <alignment horizontal="center" vertical="center"/>
    </xf>
    <xf numFmtId="0" fontId="20" fillId="0" borderId="0" xfId="0" applyFont="1" applyAlignment="1">
      <alignment horizontal="center" vertical="center"/>
    </xf>
    <xf numFmtId="0" fontId="20" fillId="2" borderId="0" xfId="0" applyFont="1" applyFill="1" applyAlignment="1">
      <alignment horizontal="center" vertical="center"/>
    </xf>
    <xf numFmtId="0" fontId="20" fillId="0" borderId="0" xfId="0" applyFont="1" applyAlignment="1">
      <alignment horizontal="left" vertical="center"/>
    </xf>
    <xf numFmtId="0" fontId="24" fillId="0" borderId="0" xfId="1" applyFont="1" applyAlignment="1">
      <alignment horizontal="left" vertical="center"/>
    </xf>
    <xf numFmtId="165" fontId="20" fillId="0" borderId="0" xfId="0" applyNumberFormat="1" applyFont="1" applyAlignment="1">
      <alignment horizontal="center" vertical="center"/>
    </xf>
    <xf numFmtId="164" fontId="23" fillId="0" borderId="0" xfId="0" applyNumberFormat="1" applyFont="1" applyAlignment="1">
      <alignment horizontal="center" vertical="center"/>
    </xf>
    <xf numFmtId="5" fontId="20" fillId="2" borderId="0" xfId="0" applyNumberFormat="1" applyFont="1" applyFill="1" applyAlignment="1">
      <alignment horizontal="center" vertical="center"/>
    </xf>
    <xf numFmtId="0" fontId="22" fillId="0" borderId="0" xfId="0" quotePrefix="1" applyFont="1" applyAlignment="1">
      <alignment vertical="center"/>
    </xf>
    <xf numFmtId="9" fontId="20" fillId="0" borderId="0" xfId="0" applyNumberFormat="1" applyFont="1" applyAlignment="1">
      <alignment horizontal="center" vertical="center"/>
    </xf>
    <xf numFmtId="164" fontId="20" fillId="0" borderId="0" xfId="0" applyNumberFormat="1" applyFont="1" applyAlignment="1">
      <alignment horizontal="center" vertical="center"/>
    </xf>
    <xf numFmtId="5" fontId="20" fillId="0" borderId="0" xfId="0" applyNumberFormat="1" applyFont="1" applyAlignment="1">
      <alignment horizontal="center" vertical="center"/>
    </xf>
    <xf numFmtId="0" fontId="25" fillId="0" borderId="0" xfId="1" applyFont="1" applyAlignment="1">
      <alignment horizontal="left" vertical="center"/>
    </xf>
    <xf numFmtId="0" fontId="22" fillId="0" borderId="0" xfId="0" quotePrefix="1" applyFont="1" applyAlignment="1">
      <alignment horizontal="center" vertical="center"/>
    </xf>
    <xf numFmtId="0" fontId="20" fillId="2" borderId="0" xfId="0" quotePrefix="1" applyFont="1" applyFill="1" applyAlignment="1">
      <alignment vertical="center"/>
    </xf>
    <xf numFmtId="165" fontId="23" fillId="2" borderId="0" xfId="0" applyNumberFormat="1" applyFont="1" applyFill="1" applyAlignment="1">
      <alignment horizontal="center" vertical="center"/>
    </xf>
    <xf numFmtId="0" fontId="20" fillId="0" borderId="1" xfId="0" quotePrefix="1" applyFont="1" applyBorder="1" applyAlignment="1">
      <alignment vertical="center"/>
    </xf>
    <xf numFmtId="165" fontId="20" fillId="0" borderId="1" xfId="0" applyNumberFormat="1" applyFont="1" applyBorder="1" applyAlignment="1">
      <alignment horizontal="center" vertical="center"/>
    </xf>
    <xf numFmtId="164" fontId="10" fillId="0" borderId="0" xfId="0" applyNumberFormat="1" applyFont="1" applyAlignment="1">
      <alignment horizontal="center"/>
    </xf>
    <xf numFmtId="164" fontId="7" fillId="0" borderId="0" xfId="0" applyNumberFormat="1" applyFont="1" applyBorder="1" applyAlignment="1">
      <alignment horizontal="center"/>
    </xf>
    <xf numFmtId="0" fontId="3" fillId="0" borderId="1" xfId="0" applyFont="1" applyBorder="1" applyAlignment="1">
      <alignment horizontal="center"/>
    </xf>
    <xf numFmtId="0" fontId="3" fillId="9" borderId="10" xfId="0" applyFont="1" applyFill="1" applyBorder="1" applyAlignment="1">
      <alignment horizontal="left" vertical="center"/>
    </xf>
    <xf numFmtId="0" fontId="10" fillId="9" borderId="12" xfId="0" applyFont="1" applyFill="1" applyBorder="1" applyAlignment="1">
      <alignment horizontal="left" vertical="center"/>
    </xf>
    <xf numFmtId="179" fontId="7" fillId="8" borderId="0" xfId="0" applyNumberFormat="1" applyFont="1" applyFill="1" applyAlignment="1">
      <alignment horizontal="center"/>
    </xf>
    <xf numFmtId="5" fontId="10" fillId="9" borderId="14" xfId="0" applyNumberFormat="1" applyFont="1" applyFill="1" applyBorder="1" applyAlignment="1">
      <alignment horizontal="centerContinuous" vertical="center"/>
    </xf>
    <xf numFmtId="0" fontId="3" fillId="9" borderId="14" xfId="0" applyFont="1" applyFill="1" applyBorder="1" applyAlignment="1">
      <alignment horizontal="centerContinuous" vertical="center"/>
    </xf>
    <xf numFmtId="0" fontId="3" fillId="9" borderId="9" xfId="0" applyFont="1" applyFill="1" applyBorder="1" applyAlignment="1">
      <alignment horizontal="centerContinuous" vertical="center"/>
    </xf>
    <xf numFmtId="165" fontId="3" fillId="9" borderId="0" xfId="0" applyNumberFormat="1" applyFont="1" applyFill="1" applyBorder="1" applyAlignment="1">
      <alignment horizontal="center" vertical="center"/>
    </xf>
    <xf numFmtId="5" fontId="10" fillId="9" borderId="1" xfId="0" applyNumberFormat="1" applyFont="1" applyFill="1" applyBorder="1" applyAlignment="1">
      <alignment horizontal="center" vertical="center"/>
    </xf>
    <xf numFmtId="0" fontId="3" fillId="0" borderId="0" xfId="0" applyFont="1" applyAlignment="1">
      <alignment horizontal="centerContinuous"/>
    </xf>
    <xf numFmtId="0" fontId="26" fillId="4" borderId="0" xfId="0" applyFont="1" applyFill="1" applyAlignment="1">
      <alignment horizontal="centerContinuous" vertical="center"/>
    </xf>
    <xf numFmtId="0" fontId="20" fillId="0" borderId="0" xfId="0" quotePrefix="1" applyFont="1" applyAlignment="1">
      <alignment horizontal="left"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0000FF"/>
      <color rgb="FF806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CIBC New Palette 3">
      <a:dk1>
        <a:sysClr val="windowText" lastClr="000000"/>
      </a:dk1>
      <a:lt1>
        <a:sysClr val="window" lastClr="FFFFFF"/>
      </a:lt1>
      <a:dk2>
        <a:srgbClr val="AAAAAA"/>
      </a:dk2>
      <a:lt2>
        <a:srgbClr val="D2ECF2"/>
      </a:lt2>
      <a:accent1>
        <a:srgbClr val="AF0B1C"/>
      </a:accent1>
      <a:accent2>
        <a:srgbClr val="FFD400"/>
      </a:accent2>
      <a:accent3>
        <a:srgbClr val="006C97"/>
      </a:accent3>
      <a:accent4>
        <a:srgbClr val="74A855"/>
      </a:accent4>
      <a:accent5>
        <a:srgbClr val="A6DAE6"/>
      </a:accent5>
      <a:accent6>
        <a:srgbClr val="D40139"/>
      </a:accent6>
      <a:hlink>
        <a:srgbClr val="D8D1CA"/>
      </a:hlink>
      <a:folHlink>
        <a:srgbClr val="0000FF"/>
      </a:folHlink>
    </a:clrScheme>
    <a:fontScheme name="CIBC">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fcagroup.com/en-US/media_center/FiatDocuments/2011/April/Agreement_to_increase_Fiat_stake_in_Chrysler.pdf" TargetMode="External"/><Relationship Id="rId3" Type="http://schemas.openxmlformats.org/officeDocument/2006/relationships/hyperlink" Target="http://www.fcagroup.com/en-US/media_center/FiatDocuments/2011/January/Fiat%20increases%20ownership%20of%20Chrysler%20Group%20LLC.pdf" TargetMode="External"/><Relationship Id="rId7" Type="http://schemas.openxmlformats.org/officeDocument/2006/relationships/hyperlink" Target="http://www.fcagroup.com/en-US/media_center/FiatDocuments/2012/January/Fiat_increases_its_interest_in_Chrysler_Group_LLC_to_58,5_per_cent.pdf" TargetMode="External"/><Relationship Id="rId2" Type="http://schemas.openxmlformats.org/officeDocument/2006/relationships/hyperlink" Target="http://www.fcagroup.com/en-US/media_center/FiatDocuments/2009/APRILE/04_30_2009_Fiat_Group_and_Chrysler_enter_into_a_global_strategic_alliance.pdf" TargetMode="External"/><Relationship Id="rId1" Type="http://schemas.openxmlformats.org/officeDocument/2006/relationships/hyperlink" Target="http://www.fcagroup.com/en-US/media_center/FiatDocuments/2011/June/UST_Call_Pricing_and_ERA_ENG.pdf" TargetMode="External"/><Relationship Id="rId6" Type="http://schemas.openxmlformats.org/officeDocument/2006/relationships/hyperlink" Target="http://www.fcagroup.com/en-US/media_center/FiatDocuments/2014/Gennaio/Fiat_to_acquire_remaining_equity_interests_in_Chrysler_Group_LLC_from_VEBA_Trust.pdf" TargetMode="External"/><Relationship Id="rId5" Type="http://schemas.openxmlformats.org/officeDocument/2006/relationships/hyperlink" Target="http://www.fcagroup.com/en-US/media_center/FiatDocuments/2011/July/Fiat_acquista_partecipazioni_in_Chrysler_del_Canada_e_del_Tesoro_Usa_ing.pdf" TargetMode="External"/><Relationship Id="rId4" Type="http://schemas.openxmlformats.org/officeDocument/2006/relationships/hyperlink" Target="http://www.fcagroup.com/en-US/media_center/FiatDocuments/2011/April/Fiat_increases_ownership_of_Chrysler_Group_LLC_from_25_to_30_percent.pdf" TargetMode="External"/><Relationship Id="rId9"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tabSelected="1" view="pageBreakPreview" zoomScaleNormal="100" zoomScaleSheetLayoutView="100" workbookViewId="0">
      <selection activeCell="E17" sqref="E17"/>
    </sheetView>
  </sheetViews>
  <sheetFormatPr defaultRowHeight="13.5" x14ac:dyDescent="0.3"/>
  <cols>
    <col min="1" max="1" width="1.625" style="1" customWidth="1"/>
    <col min="2" max="2" width="30.25" style="1" customWidth="1"/>
    <col min="3" max="9" width="10.375" style="1" customWidth="1"/>
    <col min="10" max="11" width="1.625" style="1" customWidth="1"/>
    <col min="12" max="12" width="10.375" style="1" customWidth="1"/>
    <col min="13" max="16384" width="9" style="1"/>
  </cols>
  <sheetData>
    <row r="2" spans="2:9" x14ac:dyDescent="0.3">
      <c r="B2" s="2" t="s">
        <v>211</v>
      </c>
      <c r="C2" s="2"/>
      <c r="D2" s="2"/>
      <c r="E2" s="2"/>
      <c r="F2" s="2"/>
      <c r="G2" s="2"/>
      <c r="H2" s="2"/>
      <c r="I2" s="2"/>
    </row>
    <row r="3" spans="2:9" s="3" customFormat="1" ht="20.25" customHeight="1" x14ac:dyDescent="0.45">
      <c r="B3" s="3" t="s">
        <v>212</v>
      </c>
      <c r="C3" s="66" t="s">
        <v>214</v>
      </c>
      <c r="D3" s="110" t="s">
        <v>26</v>
      </c>
      <c r="E3" s="110"/>
      <c r="F3" s="110"/>
      <c r="G3" s="110"/>
      <c r="H3" s="110"/>
      <c r="I3" s="110"/>
    </row>
    <row r="4" spans="2:9" x14ac:dyDescent="0.3">
      <c r="B4" s="1" t="s">
        <v>237</v>
      </c>
      <c r="C4" s="86">
        <f>DCF!C25</f>
        <v>8905.7682629643969</v>
      </c>
      <c r="D4" s="175" t="s">
        <v>263</v>
      </c>
      <c r="E4" s="175"/>
      <c r="F4" s="175"/>
      <c r="G4" s="175"/>
      <c r="H4" s="175"/>
      <c r="I4" s="175"/>
    </row>
    <row r="5" spans="2:9" x14ac:dyDescent="0.3">
      <c r="B5" s="1" t="s">
        <v>213</v>
      </c>
      <c r="C5" s="86">
        <f>Comps!E33</f>
        <v>7352</v>
      </c>
      <c r="D5" s="175" t="s">
        <v>219</v>
      </c>
      <c r="E5" s="175"/>
      <c r="F5" s="175"/>
      <c r="G5" s="175"/>
      <c r="H5" s="175"/>
      <c r="I5" s="175"/>
    </row>
    <row r="6" spans="2:9" x14ac:dyDescent="0.3">
      <c r="B6" s="1" t="s">
        <v>221</v>
      </c>
      <c r="C6" s="86">
        <f>AVERAGE(Precedents!G16,Precedents!G17,Precedents!G18)</f>
        <v>8197.2222222222226</v>
      </c>
      <c r="D6" s="175" t="s">
        <v>222</v>
      </c>
      <c r="E6" s="175"/>
      <c r="F6" s="175"/>
      <c r="G6" s="175"/>
      <c r="H6" s="175"/>
      <c r="I6" s="175"/>
    </row>
    <row r="7" spans="2:9" ht="3.75" customHeight="1" x14ac:dyDescent="0.3">
      <c r="B7" s="77"/>
      <c r="C7" s="87"/>
      <c r="D7" s="77"/>
      <c r="E7" s="77"/>
      <c r="F7" s="77"/>
      <c r="G7" s="77"/>
      <c r="H7" s="77"/>
      <c r="I7" s="77"/>
    </row>
    <row r="8" spans="2:9" s="90" customFormat="1" x14ac:dyDescent="0.3">
      <c r="B8" s="88" t="s">
        <v>215</v>
      </c>
      <c r="C8" s="89">
        <f>AVERAGE(C4:C7)</f>
        <v>8151.6634950622065</v>
      </c>
    </row>
    <row r="10" spans="2:9" s="91" customFormat="1" ht="21" customHeight="1" x14ac:dyDescent="0.3">
      <c r="B10" s="132" t="s">
        <v>216</v>
      </c>
      <c r="C10" s="170">
        <f>C8*41.5%</f>
        <v>3382.9403504508155</v>
      </c>
      <c r="D10" s="171"/>
      <c r="E10" s="171"/>
      <c r="F10" s="172"/>
    </row>
    <row r="11" spans="2:9" s="91" customFormat="1" ht="24.75" customHeight="1" x14ac:dyDescent="0.3">
      <c r="B11" s="167" t="s">
        <v>254</v>
      </c>
      <c r="C11" s="173">
        <v>0.05</v>
      </c>
      <c r="D11" s="173">
        <v>0.1</v>
      </c>
      <c r="E11" s="173">
        <v>0.15</v>
      </c>
      <c r="F11" s="133">
        <v>0.2</v>
      </c>
    </row>
    <row r="12" spans="2:9" x14ac:dyDescent="0.3">
      <c r="B12" s="168" t="s">
        <v>255</v>
      </c>
      <c r="C12" s="174">
        <f>$C$10*(1+C11)</f>
        <v>3552.0873679733563</v>
      </c>
      <c r="D12" s="174">
        <f>$C$10*(1+D11)</f>
        <v>3721.2343854958972</v>
      </c>
      <c r="E12" s="174">
        <f>$C$10*(1+E11)</f>
        <v>3890.3814030184376</v>
      </c>
      <c r="F12" s="134">
        <f>$C$10*(1+F11)</f>
        <v>4059.5284205409785</v>
      </c>
    </row>
    <row r="14" spans="2:9" x14ac:dyDescent="0.3">
      <c r="B14" s="1" t="s">
        <v>264</v>
      </c>
    </row>
  </sheetData>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31"/>
  <sheetViews>
    <sheetView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C5" sqref="C5"/>
    </sheetView>
  </sheetViews>
  <sheetFormatPr defaultRowHeight="13.5" outlineLevelRow="1" outlineLevelCol="1" x14ac:dyDescent="0.3"/>
  <cols>
    <col min="1" max="1" width="1.625" style="1" customWidth="1"/>
    <col min="2" max="2" width="30.5" style="1" customWidth="1"/>
    <col min="3" max="7" width="12.375" style="1" customWidth="1"/>
    <col min="8" max="8" width="12.375" style="1" hidden="1" customWidth="1" outlineLevel="1"/>
    <col min="9" max="9" width="12.375" style="1" hidden="1" customWidth="1" outlineLevel="1" collapsed="1"/>
    <col min="10" max="10" width="12.375" style="1" customWidth="1" collapsed="1"/>
    <col min="11" max="16" width="12.375" style="1" customWidth="1"/>
    <col min="17" max="17" width="1.625" style="1" customWidth="1"/>
    <col min="18" max="18" width="36.25" style="1" customWidth="1"/>
    <col min="19" max="19" width="1.625" style="1" customWidth="1"/>
    <col min="20" max="16384" width="9" style="1"/>
  </cols>
  <sheetData>
    <row r="2" spans="2:18" x14ac:dyDescent="0.3">
      <c r="B2" s="2" t="s">
        <v>49</v>
      </c>
      <c r="C2" s="2"/>
      <c r="D2" s="2"/>
      <c r="E2" s="2"/>
      <c r="F2" s="2"/>
      <c r="G2" s="2"/>
      <c r="H2" s="2"/>
      <c r="I2" s="2"/>
      <c r="J2" s="2"/>
      <c r="K2" s="2"/>
      <c r="L2" s="2"/>
      <c r="M2" s="2"/>
      <c r="N2" s="2"/>
      <c r="O2" s="2"/>
      <c r="P2" s="2"/>
      <c r="Q2" s="2"/>
      <c r="R2" s="2"/>
    </row>
    <row r="3" spans="2:18" s="3" customFormat="1" ht="20.25" customHeight="1" x14ac:dyDescent="0.45">
      <c r="C3" s="4">
        <v>39813</v>
      </c>
      <c r="D3" s="4">
        <v>40178</v>
      </c>
      <c r="E3" s="4">
        <v>40543</v>
      </c>
      <c r="F3" s="4">
        <v>40908</v>
      </c>
      <c r="G3" s="4">
        <v>41274</v>
      </c>
      <c r="H3" s="13" t="s">
        <v>146</v>
      </c>
      <c r="I3" s="13" t="s">
        <v>147</v>
      </c>
      <c r="J3" s="13" t="s">
        <v>145</v>
      </c>
      <c r="K3" s="44" t="s">
        <v>135</v>
      </c>
      <c r="L3" s="44" t="s">
        <v>132</v>
      </c>
      <c r="M3" s="44" t="s">
        <v>133</v>
      </c>
      <c r="N3" s="44" t="s">
        <v>134</v>
      </c>
      <c r="O3" s="44" t="s">
        <v>184</v>
      </c>
      <c r="P3" s="44" t="s">
        <v>224</v>
      </c>
      <c r="R3" s="3" t="s">
        <v>152</v>
      </c>
    </row>
    <row r="4" spans="2:18" ht="3" customHeight="1" x14ac:dyDescent="0.3">
      <c r="D4" s="14"/>
      <c r="K4" s="52"/>
      <c r="L4" s="52"/>
      <c r="M4" s="52"/>
      <c r="N4" s="52"/>
      <c r="O4" s="52"/>
      <c r="P4" s="52"/>
    </row>
    <row r="5" spans="2:18" s="3" customFormat="1" ht="20.25" customHeight="1" x14ac:dyDescent="0.45">
      <c r="B5" s="11" t="s">
        <v>136</v>
      </c>
      <c r="C5" s="4"/>
      <c r="D5" s="4"/>
      <c r="E5" s="4"/>
      <c r="F5" s="4"/>
      <c r="G5" s="4"/>
      <c r="H5" s="13"/>
      <c r="I5" s="13"/>
      <c r="J5" s="13"/>
      <c r="K5" s="44"/>
      <c r="L5" s="44"/>
      <c r="M5" s="44"/>
      <c r="N5" s="44"/>
      <c r="O5" s="44"/>
      <c r="P5" s="44"/>
    </row>
    <row r="6" spans="2:18" x14ac:dyDescent="0.3">
      <c r="B6" s="1" t="s">
        <v>50</v>
      </c>
      <c r="C6" s="37"/>
      <c r="D6" s="37">
        <f t="shared" ref="D6:G8" si="0">D28/C28-1</f>
        <v>-0.2144180188189968</v>
      </c>
      <c r="E6" s="37">
        <f t="shared" si="0"/>
        <v>0.11006318966330286</v>
      </c>
      <c r="F6" s="37">
        <f t="shared" si="0"/>
        <v>0.10569243840271869</v>
      </c>
      <c r="G6" s="37">
        <f t="shared" si="0"/>
        <v>0.13616105732288308</v>
      </c>
      <c r="H6" s="39"/>
      <c r="I6" s="39"/>
      <c r="J6" s="39"/>
      <c r="K6" s="57">
        <v>0.12</v>
      </c>
      <c r="L6" s="57">
        <v>0.1</v>
      </c>
      <c r="M6" s="57">
        <v>0.08</v>
      </c>
      <c r="N6" s="57">
        <v>0.08</v>
      </c>
      <c r="O6" s="57">
        <v>0.08</v>
      </c>
      <c r="P6" s="57">
        <v>0.08</v>
      </c>
    </row>
    <row r="7" spans="2:18" x14ac:dyDescent="0.3">
      <c r="B7" s="1" t="s">
        <v>51</v>
      </c>
      <c r="C7" s="37"/>
      <c r="D7" s="37">
        <f t="shared" si="0"/>
        <v>-0.11423444976076558</v>
      </c>
      <c r="E7" s="37">
        <f t="shared" si="0"/>
        <v>6.7521944632005448E-2</v>
      </c>
      <c r="F7" s="37">
        <f t="shared" si="0"/>
        <v>2.3402909550917173E-2</v>
      </c>
      <c r="G7" s="37">
        <f t="shared" si="0"/>
        <v>5.9332509270704659E-2</v>
      </c>
      <c r="H7" s="41"/>
      <c r="I7" s="41"/>
      <c r="J7" s="41"/>
      <c r="K7" s="57">
        <v>0.05</v>
      </c>
      <c r="L7" s="57">
        <v>0.05</v>
      </c>
      <c r="M7" s="57">
        <v>0.05</v>
      </c>
      <c r="N7" s="57">
        <v>0.05</v>
      </c>
      <c r="O7" s="57">
        <v>0.05</v>
      </c>
      <c r="P7" s="57">
        <v>0.05</v>
      </c>
    </row>
    <row r="8" spans="2:18" x14ac:dyDescent="0.3">
      <c r="B8" s="1" t="s">
        <v>52</v>
      </c>
      <c r="C8" s="37"/>
      <c r="D8" s="37">
        <f t="shared" si="0"/>
        <v>-0.274087932647334</v>
      </c>
      <c r="E8" s="37">
        <f t="shared" si="0"/>
        <v>9.0206185567010211E-2</v>
      </c>
      <c r="F8" s="37">
        <f t="shared" si="0"/>
        <v>0.10756501182033107</v>
      </c>
      <c r="G8" s="37">
        <f t="shared" si="0"/>
        <v>9.2849519743863462E-2</v>
      </c>
      <c r="H8" s="41"/>
      <c r="I8" s="41"/>
      <c r="J8" s="41"/>
      <c r="K8" s="57">
        <v>0.1</v>
      </c>
      <c r="L8" s="57">
        <v>0.1</v>
      </c>
      <c r="M8" s="57">
        <v>0.1</v>
      </c>
      <c r="N8" s="57">
        <v>0.1</v>
      </c>
      <c r="O8" s="57">
        <v>0.1</v>
      </c>
      <c r="P8" s="57">
        <v>0.1</v>
      </c>
    </row>
    <row r="9" spans="2:18" ht="3" customHeight="1" x14ac:dyDescent="0.3">
      <c r="C9" s="38"/>
      <c r="D9" s="38"/>
      <c r="E9" s="38"/>
      <c r="F9" s="38"/>
      <c r="G9" s="38"/>
      <c r="H9" s="38"/>
      <c r="I9" s="38"/>
      <c r="J9" s="38"/>
      <c r="K9" s="53"/>
      <c r="L9" s="53"/>
      <c r="M9" s="53"/>
      <c r="N9" s="53"/>
      <c r="O9" s="53"/>
      <c r="P9" s="53"/>
    </row>
    <row r="10" spans="2:18" x14ac:dyDescent="0.3">
      <c r="B10" s="1" t="s">
        <v>54</v>
      </c>
      <c r="C10" s="37"/>
      <c r="D10" s="37">
        <f>D32/C32-1</f>
        <v>-0.20803054563369872</v>
      </c>
      <c r="E10" s="37">
        <f>E32/D32-1</f>
        <v>0.10396578538102652</v>
      </c>
      <c r="F10" s="37">
        <f>F32/E32-1</f>
        <v>9.6640135239839386E-2</v>
      </c>
      <c r="G10" s="37">
        <f>G32/F32-1</f>
        <v>0.1255700430342348</v>
      </c>
      <c r="H10" s="36"/>
      <c r="I10" s="36"/>
      <c r="J10" s="36"/>
      <c r="K10" s="54">
        <f>K32/G32-1</f>
        <v>0.11198470668797111</v>
      </c>
      <c r="L10" s="54">
        <f>L32/K32-1</f>
        <v>9.5382168710312243E-2</v>
      </c>
      <c r="M10" s="54">
        <f>M32/L32-1</f>
        <v>7.8505053413487236E-2</v>
      </c>
      <c r="N10" s="54">
        <f>N32/M32-1</f>
        <v>7.8598387772411682E-2</v>
      </c>
      <c r="O10" s="54">
        <f>O32/N32-1</f>
        <v>7.8690441323081783E-2</v>
      </c>
      <c r="P10" s="54">
        <f>P32/O32-1</f>
        <v>7.8781247287684542E-2</v>
      </c>
    </row>
    <row r="11" spans="2:18" x14ac:dyDescent="0.3">
      <c r="C11" s="37"/>
      <c r="D11" s="37"/>
      <c r="E11" s="37"/>
      <c r="F11" s="37"/>
      <c r="G11" s="37"/>
      <c r="H11" s="39"/>
      <c r="I11" s="39"/>
      <c r="J11" s="39"/>
      <c r="K11" s="55"/>
      <c r="L11" s="55"/>
      <c r="M11" s="55"/>
      <c r="N11" s="55"/>
      <c r="O11" s="55"/>
      <c r="P11" s="55"/>
    </row>
    <row r="12" spans="2:18" x14ac:dyDescent="0.3">
      <c r="B12" s="1" t="s">
        <v>53</v>
      </c>
      <c r="C12" s="37"/>
      <c r="D12" s="37">
        <f>D34/C34-1</f>
        <v>1.8049821496240348E-2</v>
      </c>
      <c r="E12" s="37">
        <f>E34/D34-1</f>
        <v>0.13033853146305141</v>
      </c>
      <c r="F12" s="37">
        <f>F34/E34-1</f>
        <v>4.0227394838553199E-2</v>
      </c>
      <c r="G12" s="37">
        <f>G34/F34-1</f>
        <v>4.0504515312073108E-2</v>
      </c>
      <c r="H12" s="39"/>
      <c r="I12" s="39"/>
      <c r="J12" s="39"/>
      <c r="K12" s="57">
        <v>0.04</v>
      </c>
      <c r="L12" s="57">
        <v>0.04</v>
      </c>
      <c r="M12" s="57">
        <v>0.04</v>
      </c>
      <c r="N12" s="57">
        <v>0.04</v>
      </c>
      <c r="O12" s="57">
        <v>0.04</v>
      </c>
      <c r="P12" s="57">
        <v>0.04</v>
      </c>
    </row>
    <row r="13" spans="2:18" ht="3" customHeight="1" x14ac:dyDescent="0.3">
      <c r="C13" s="38"/>
      <c r="D13" s="38"/>
      <c r="E13" s="38"/>
      <c r="F13" s="38"/>
      <c r="G13" s="38"/>
      <c r="H13" s="38"/>
      <c r="I13" s="38"/>
      <c r="J13" s="38"/>
      <c r="K13" s="53"/>
      <c r="L13" s="53"/>
      <c r="M13" s="53"/>
      <c r="N13" s="53"/>
      <c r="O13" s="53"/>
      <c r="P13" s="53"/>
    </row>
    <row r="14" spans="2:18" x14ac:dyDescent="0.3">
      <c r="B14" s="1" t="s">
        <v>17</v>
      </c>
      <c r="C14" s="37"/>
      <c r="D14" s="37">
        <f>D36/C36-1</f>
        <v>-3.7256881148590604E-2</v>
      </c>
      <c r="E14" s="37">
        <f>E36/D36-1</f>
        <v>0.12503129694541815</v>
      </c>
      <c r="F14" s="37">
        <f>F36/E36-1</f>
        <v>5.136729073358004E-2</v>
      </c>
      <c r="G14" s="37">
        <f>G36/F36-1</f>
        <v>5.802585100612534E-2</v>
      </c>
      <c r="H14" s="39"/>
      <c r="I14" s="39"/>
      <c r="J14" s="39"/>
      <c r="K14" s="54">
        <f>K36/G36-1</f>
        <v>5.5773573581083591E-2</v>
      </c>
      <c r="L14" s="54">
        <f>L36/K36-1</f>
        <v>5.2781677104481783E-2</v>
      </c>
      <c r="M14" s="54">
        <f>M36/L36-1</f>
        <v>4.9246193185149556E-2</v>
      </c>
      <c r="N14" s="54">
        <f>N36/M36-1</f>
        <v>4.952706613423663E-2</v>
      </c>
      <c r="O14" s="54">
        <f>O36/N36-1</f>
        <v>4.9814311145351287E-2</v>
      </c>
      <c r="P14" s="54">
        <f>P36/O36-1</f>
        <v>5.0107930640273191E-2</v>
      </c>
    </row>
    <row r="15" spans="2:18" x14ac:dyDescent="0.3">
      <c r="C15" s="39"/>
      <c r="D15" s="39"/>
      <c r="E15" s="39"/>
      <c r="F15" s="39"/>
      <c r="G15" s="39"/>
      <c r="H15" s="39"/>
      <c r="I15" s="39"/>
      <c r="J15" s="39"/>
      <c r="K15" s="55"/>
      <c r="L15" s="55"/>
      <c r="M15" s="55"/>
      <c r="N15" s="55"/>
      <c r="O15" s="55"/>
      <c r="P15" s="55"/>
    </row>
    <row r="16" spans="2:18" s="3" customFormat="1" ht="20.25" customHeight="1" x14ac:dyDescent="0.45">
      <c r="B16" s="11" t="s">
        <v>55</v>
      </c>
      <c r="C16" s="42"/>
      <c r="D16" s="42"/>
      <c r="E16" s="42"/>
      <c r="F16" s="42"/>
      <c r="G16" s="42"/>
      <c r="H16" s="43"/>
      <c r="I16" s="43"/>
      <c r="J16" s="43"/>
      <c r="K16" s="56"/>
      <c r="L16" s="56"/>
      <c r="M16" s="56"/>
      <c r="N16" s="56"/>
      <c r="O16" s="56"/>
      <c r="P16" s="56"/>
    </row>
    <row r="17" spans="2:17" x14ac:dyDescent="0.3">
      <c r="B17" s="1" t="s">
        <v>50</v>
      </c>
      <c r="C17" s="37">
        <f t="shared" ref="C17:J19" si="1">C39/C28</f>
        <v>0.1076535526413277</v>
      </c>
      <c r="D17" s="37">
        <f t="shared" si="1"/>
        <v>8.7805338111855133E-2</v>
      </c>
      <c r="E17" s="37">
        <f t="shared" si="1"/>
        <v>9.2183517417162283E-2</v>
      </c>
      <c r="F17" s="37">
        <f t="shared" si="1"/>
        <v>0.10519440602428154</v>
      </c>
      <c r="G17" s="37">
        <f t="shared" si="1"/>
        <v>0.11172730961720546</v>
      </c>
      <c r="H17" s="37">
        <f t="shared" si="1"/>
        <v>0.11248988400323712</v>
      </c>
      <c r="I17" s="37">
        <f t="shared" si="1"/>
        <v>0.11327212020033389</v>
      </c>
      <c r="J17" s="37">
        <f t="shared" si="1"/>
        <v>0.11236816874400767</v>
      </c>
      <c r="K17" s="57">
        <v>0.112</v>
      </c>
      <c r="L17" s="57">
        <v>0.115</v>
      </c>
      <c r="M17" s="57">
        <v>0.11799999999999999</v>
      </c>
      <c r="N17" s="57">
        <v>0.12</v>
      </c>
      <c r="O17" s="57">
        <v>0.12</v>
      </c>
      <c r="P17" s="57">
        <v>0.12</v>
      </c>
    </row>
    <row r="18" spans="2:17" x14ac:dyDescent="0.3">
      <c r="B18" s="1" t="s">
        <v>51</v>
      </c>
      <c r="C18" s="37">
        <f t="shared" si="1"/>
        <v>0.13337320574162678</v>
      </c>
      <c r="D18" s="37">
        <f t="shared" si="1"/>
        <v>0.1100607697501688</v>
      </c>
      <c r="E18" s="37">
        <f t="shared" si="1"/>
        <v>0.12966476913345984</v>
      </c>
      <c r="F18" s="37">
        <f t="shared" si="1"/>
        <v>0.14276885043263288</v>
      </c>
      <c r="G18" s="37">
        <f t="shared" si="1"/>
        <v>0.14235705950991831</v>
      </c>
      <c r="H18" s="37">
        <f t="shared" si="1"/>
        <v>0.14617691154422788</v>
      </c>
      <c r="I18" s="37">
        <f t="shared" si="1"/>
        <v>0.15032679738562091</v>
      </c>
      <c r="J18" s="37">
        <f t="shared" si="1"/>
        <v>0.14570290267501423</v>
      </c>
      <c r="K18" s="57">
        <v>0.14599999999999999</v>
      </c>
      <c r="L18" s="57">
        <v>0.14799999999999999</v>
      </c>
      <c r="M18" s="57">
        <v>0.15</v>
      </c>
      <c r="N18" s="57">
        <v>0.15</v>
      </c>
      <c r="O18" s="57">
        <v>0.15</v>
      </c>
      <c r="P18" s="57">
        <v>0.15</v>
      </c>
    </row>
    <row r="19" spans="2:17" x14ac:dyDescent="0.3">
      <c r="B19" s="1" t="s">
        <v>52</v>
      </c>
      <c r="C19" s="37">
        <f t="shared" si="1"/>
        <v>0.10851262862488306</v>
      </c>
      <c r="D19" s="37">
        <f t="shared" si="1"/>
        <v>0.10695876288659793</v>
      </c>
      <c r="E19" s="37">
        <f t="shared" si="1"/>
        <v>9.3380614657210398E-2</v>
      </c>
      <c r="F19" s="37">
        <f t="shared" si="1"/>
        <v>8.7513340448239066E-2</v>
      </c>
      <c r="G19" s="37">
        <f t="shared" si="1"/>
        <v>8.59375E-2</v>
      </c>
      <c r="H19" s="37">
        <f t="shared" si="1"/>
        <v>8.528198074277854E-2</v>
      </c>
      <c r="I19" s="37">
        <f t="shared" si="1"/>
        <v>7.9283887468030695E-2</v>
      </c>
      <c r="J19" s="37">
        <f t="shared" si="1"/>
        <v>8.155699721964782E-2</v>
      </c>
      <c r="K19" s="57">
        <v>8.2000000000000003E-2</v>
      </c>
      <c r="L19" s="57">
        <v>8.5000000000000006E-2</v>
      </c>
      <c r="M19" s="57">
        <v>0.09</v>
      </c>
      <c r="N19" s="57">
        <v>0.09</v>
      </c>
      <c r="O19" s="57">
        <v>0.09</v>
      </c>
      <c r="P19" s="57">
        <v>0.09</v>
      </c>
    </row>
    <row r="20" spans="2:17" ht="3" customHeight="1" x14ac:dyDescent="0.3">
      <c r="C20" s="38"/>
      <c r="D20" s="38"/>
      <c r="E20" s="38"/>
      <c r="F20" s="38"/>
      <c r="G20" s="38"/>
      <c r="H20" s="38"/>
      <c r="I20" s="38"/>
      <c r="J20" s="38"/>
      <c r="K20" s="53"/>
      <c r="L20" s="53"/>
      <c r="M20" s="53"/>
      <c r="N20" s="53"/>
      <c r="O20" s="53"/>
      <c r="P20" s="53"/>
    </row>
    <row r="21" spans="2:17" x14ac:dyDescent="0.3">
      <c r="B21" s="1" t="s">
        <v>54</v>
      </c>
      <c r="C21" s="37">
        <f t="shared" ref="C21:K21" si="2">C43/C32</f>
        <v>0.11035841852444882</v>
      </c>
      <c r="D21" s="37">
        <f t="shared" si="2"/>
        <v>9.152410575427683E-2</v>
      </c>
      <c r="E21" s="37">
        <f t="shared" si="2"/>
        <v>9.6428822990772697E-2</v>
      </c>
      <c r="F21" s="37">
        <f t="shared" si="2"/>
        <v>0.10803519815017021</v>
      </c>
      <c r="G21" s="37">
        <f t="shared" si="2"/>
        <v>0.1132161606939055</v>
      </c>
      <c r="H21" s="37">
        <f t="shared" si="2"/>
        <v>0.11439842209072978</v>
      </c>
      <c r="I21" s="37">
        <f t="shared" si="2"/>
        <v>0.11500106089539572</v>
      </c>
      <c r="J21" s="37">
        <f t="shared" si="2"/>
        <v>0.1137384340674206</v>
      </c>
      <c r="K21" s="54">
        <f t="shared" si="2"/>
        <v>0.11340599453362905</v>
      </c>
      <c r="L21" s="54">
        <f t="shared" ref="L21:N21" si="3">L43/L32</f>
        <v>0.11618005688150013</v>
      </c>
      <c r="M21" s="54">
        <f t="shared" si="3"/>
        <v>0.11910035330042372</v>
      </c>
      <c r="N21" s="54">
        <f t="shared" si="3"/>
        <v>0.1207057615803903</v>
      </c>
      <c r="O21" s="54">
        <f t="shared" ref="O21:P21" si="4">O43/O32</f>
        <v>0.12060302758790814</v>
      </c>
      <c r="P21" s="54">
        <f t="shared" si="4"/>
        <v>0.12050132517598189</v>
      </c>
      <c r="Q21" s="12"/>
    </row>
    <row r="22" spans="2:17" x14ac:dyDescent="0.3">
      <c r="C22" s="39"/>
      <c r="D22" s="39"/>
      <c r="E22" s="39"/>
      <c r="F22" s="39"/>
      <c r="G22" s="39"/>
      <c r="H22" s="39"/>
      <c r="I22" s="39"/>
      <c r="J22" s="39"/>
      <c r="K22" s="55"/>
      <c r="L22" s="55"/>
      <c r="M22" s="55"/>
      <c r="N22" s="55"/>
      <c r="O22" s="55"/>
      <c r="P22" s="55"/>
    </row>
    <row r="23" spans="2:17" x14ac:dyDescent="0.3">
      <c r="B23" s="1" t="s">
        <v>53</v>
      </c>
      <c r="C23" s="37">
        <f>C45/C34</f>
        <v>4.2880791399908256E-3</v>
      </c>
      <c r="D23" s="37">
        <f>D45/D34</f>
        <v>2.7623227019826033E-3</v>
      </c>
      <c r="E23" s="37">
        <f>E45/E34</f>
        <v>2.5477927795205988E-3</v>
      </c>
      <c r="F23" s="37">
        <f>F45/F34</f>
        <v>2.8824685927555066E-3</v>
      </c>
      <c r="G23" s="37">
        <f>G45/G34</f>
        <v>3.3627439991032681E-3</v>
      </c>
      <c r="H23" s="37"/>
      <c r="I23" s="37"/>
      <c r="J23" s="37"/>
      <c r="K23" s="57">
        <f>G23</f>
        <v>3.3627439991032681E-3</v>
      </c>
      <c r="L23" s="57">
        <f>K23</f>
        <v>3.3627439991032681E-3</v>
      </c>
      <c r="M23" s="57">
        <f>L23</f>
        <v>3.3627439991032681E-3</v>
      </c>
      <c r="N23" s="57">
        <f>M23</f>
        <v>3.3627439991032681E-3</v>
      </c>
      <c r="O23" s="57">
        <f>N23</f>
        <v>3.3627439991032681E-3</v>
      </c>
      <c r="P23" s="57">
        <f>O23</f>
        <v>3.3627439991032681E-3</v>
      </c>
    </row>
    <row r="24" spans="2:17" ht="3" customHeight="1" x14ac:dyDescent="0.3">
      <c r="C24" s="38"/>
      <c r="D24" s="38"/>
      <c r="E24" s="38"/>
      <c r="F24" s="38"/>
      <c r="G24" s="38"/>
      <c r="H24" s="38"/>
      <c r="I24" s="38"/>
      <c r="J24" s="38"/>
      <c r="K24" s="53"/>
      <c r="L24" s="53"/>
      <c r="M24" s="53"/>
      <c r="N24" s="53"/>
      <c r="O24" s="53"/>
      <c r="P24" s="53"/>
    </row>
    <row r="25" spans="2:17" x14ac:dyDescent="0.3">
      <c r="B25" s="1" t="s">
        <v>17</v>
      </c>
      <c r="C25" s="37">
        <f>C47/C36</f>
        <v>3.0236377058318394E-2</v>
      </c>
      <c r="D25" s="37">
        <f>D47/D36</f>
        <v>2.0624687030545819E-2</v>
      </c>
      <c r="E25" s="37">
        <f>E47/E36</f>
        <v>2.1086599716248922E-2</v>
      </c>
      <c r="F25" s="37">
        <f>F47/F36</f>
        <v>2.4541257094473919E-2</v>
      </c>
      <c r="G25" s="37">
        <f>G47/G36</f>
        <v>2.7434259062433571E-2</v>
      </c>
      <c r="H25" s="37"/>
      <c r="I25" s="37"/>
      <c r="J25" s="37"/>
      <c r="K25" s="54">
        <f>K47/K36</f>
        <v>2.875967822204915E-2</v>
      </c>
      <c r="L25" s="54">
        <f t="shared" ref="L25:N25" si="5">L47/L36</f>
        <v>3.0453491240469789E-2</v>
      </c>
      <c r="M25" s="54">
        <f t="shared" si="5"/>
        <v>3.1929736603396562E-2</v>
      </c>
      <c r="N25" s="54">
        <f t="shared" si="5"/>
        <v>3.31282583198233E-2</v>
      </c>
      <c r="O25" s="54">
        <f t="shared" ref="O25:P25" si="6">O47/O36</f>
        <v>3.3920210239698774E-2</v>
      </c>
      <c r="P25" s="54">
        <f t="shared" si="6"/>
        <v>3.4727353859633679E-2</v>
      </c>
    </row>
    <row r="26" spans="2:17" x14ac:dyDescent="0.3">
      <c r="P26" s="52"/>
    </row>
    <row r="27" spans="2:17" s="3" customFormat="1" ht="20.25" customHeight="1" x14ac:dyDescent="0.45">
      <c r="B27" s="11" t="s">
        <v>131</v>
      </c>
      <c r="C27" s="4"/>
      <c r="D27" s="4"/>
      <c r="E27" s="4"/>
      <c r="F27" s="4"/>
      <c r="G27" s="4"/>
      <c r="H27" s="13"/>
      <c r="I27" s="13"/>
      <c r="J27" s="13"/>
      <c r="K27" s="13"/>
      <c r="L27" s="13"/>
      <c r="M27" s="13"/>
      <c r="N27" s="13"/>
      <c r="O27" s="13"/>
      <c r="P27" s="13"/>
    </row>
    <row r="28" spans="2:17" x14ac:dyDescent="0.3">
      <c r="B28" s="1" t="s">
        <v>50</v>
      </c>
      <c r="C28" s="9">
        <v>13497</v>
      </c>
      <c r="D28" s="9">
        <v>10603</v>
      </c>
      <c r="E28" s="9">
        <v>11770</v>
      </c>
      <c r="F28" s="9">
        <v>13014</v>
      </c>
      <c r="G28" s="9">
        <v>14786</v>
      </c>
      <c r="H28" s="9">
        <v>11121</v>
      </c>
      <c r="I28" s="9">
        <v>11980</v>
      </c>
      <c r="J28" s="8">
        <f>+I28+G28-H28</f>
        <v>15645</v>
      </c>
      <c r="K28" s="8">
        <f>G28*(1+K6)</f>
        <v>16560.320000000003</v>
      </c>
      <c r="L28" s="8">
        <f t="shared" ref="L28:P30" si="7">K28*(1+L6)</f>
        <v>18216.352000000006</v>
      </c>
      <c r="M28" s="8">
        <f t="shared" si="7"/>
        <v>19673.660160000007</v>
      </c>
      <c r="N28" s="8">
        <f t="shared" si="7"/>
        <v>21247.552972800007</v>
      </c>
      <c r="O28" s="8">
        <f t="shared" si="7"/>
        <v>22947.35721062401</v>
      </c>
      <c r="P28" s="8">
        <f t="shared" si="7"/>
        <v>24783.145787473932</v>
      </c>
    </row>
    <row r="29" spans="2:17" x14ac:dyDescent="0.3">
      <c r="B29" s="1" t="s">
        <v>51</v>
      </c>
      <c r="C29" s="10">
        <v>1672</v>
      </c>
      <c r="D29" s="10">
        <v>1481</v>
      </c>
      <c r="E29" s="10">
        <v>1581</v>
      </c>
      <c r="F29" s="10">
        <v>1618</v>
      </c>
      <c r="G29" s="10">
        <v>1714</v>
      </c>
      <c r="H29" s="10">
        <v>1334</v>
      </c>
      <c r="I29" s="10">
        <v>1377</v>
      </c>
      <c r="J29" s="8">
        <f>+I29+G29-H29</f>
        <v>1757</v>
      </c>
      <c r="K29" s="8">
        <f>G29*(1+K7)</f>
        <v>1799.7</v>
      </c>
      <c r="L29" s="8">
        <f t="shared" si="7"/>
        <v>1889.6850000000002</v>
      </c>
      <c r="M29" s="8">
        <f t="shared" si="7"/>
        <v>1984.1692500000004</v>
      </c>
      <c r="N29" s="8">
        <f t="shared" si="7"/>
        <v>2083.3777125000006</v>
      </c>
      <c r="O29" s="8">
        <f t="shared" si="7"/>
        <v>2187.5465981250009</v>
      </c>
      <c r="P29" s="8">
        <f t="shared" si="7"/>
        <v>2296.9239280312509</v>
      </c>
    </row>
    <row r="30" spans="2:17" x14ac:dyDescent="0.3">
      <c r="B30" s="1" t="s">
        <v>52</v>
      </c>
      <c r="C30" s="10">
        <v>1069</v>
      </c>
      <c r="D30" s="10">
        <v>776</v>
      </c>
      <c r="E30" s="10">
        <v>846</v>
      </c>
      <c r="F30" s="10">
        <v>937</v>
      </c>
      <c r="G30" s="10">
        <v>1024</v>
      </c>
      <c r="H30" s="10">
        <v>727</v>
      </c>
      <c r="I30" s="10">
        <v>782</v>
      </c>
      <c r="J30" s="8">
        <f>+I30+G30-H30</f>
        <v>1079</v>
      </c>
      <c r="K30" s="8">
        <f>G30*(1+K8)</f>
        <v>1126.4000000000001</v>
      </c>
      <c r="L30" s="8">
        <f t="shared" si="7"/>
        <v>1239.0400000000002</v>
      </c>
      <c r="M30" s="8">
        <f t="shared" si="7"/>
        <v>1362.9440000000004</v>
      </c>
      <c r="N30" s="8">
        <f t="shared" si="7"/>
        <v>1499.2384000000006</v>
      </c>
      <c r="O30" s="8">
        <f t="shared" si="7"/>
        <v>1649.1622400000008</v>
      </c>
      <c r="P30" s="8">
        <f t="shared" si="7"/>
        <v>1814.0784640000011</v>
      </c>
    </row>
    <row r="31" spans="2:17" ht="3" customHeight="1" x14ac:dyDescent="0.3">
      <c r="C31" s="7"/>
      <c r="D31" s="7"/>
      <c r="E31" s="7"/>
      <c r="F31" s="7"/>
      <c r="G31" s="7"/>
      <c r="H31" s="7"/>
      <c r="I31" s="7"/>
      <c r="J31" s="7"/>
      <c r="K31" s="7"/>
      <c r="L31" s="7"/>
      <c r="M31" s="7"/>
      <c r="N31" s="7"/>
      <c r="O31" s="7"/>
      <c r="P31" s="7"/>
    </row>
    <row r="32" spans="2:17" x14ac:dyDescent="0.3">
      <c r="B32" s="1" t="s">
        <v>54</v>
      </c>
      <c r="C32" s="5">
        <f>SUM(C28:C31)</f>
        <v>16238</v>
      </c>
      <c r="D32" s="5">
        <f t="shared" ref="D32" si="8">SUM(D28:D31)</f>
        <v>12860</v>
      </c>
      <c r="E32" s="5">
        <f t="shared" ref="E32" si="9">SUM(E28:E31)</f>
        <v>14197</v>
      </c>
      <c r="F32" s="5">
        <f t="shared" ref="F32" si="10">SUM(F28:F31)</f>
        <v>15569</v>
      </c>
      <c r="G32" s="5">
        <f t="shared" ref="G32" si="11">SUM(G28:G31)</f>
        <v>17524</v>
      </c>
      <c r="H32" s="5">
        <f t="shared" ref="H32" si="12">SUM(H28:H31)</f>
        <v>13182</v>
      </c>
      <c r="I32" s="5">
        <f t="shared" ref="I32" si="13">SUM(I28:I31)</f>
        <v>14139</v>
      </c>
      <c r="J32" s="5">
        <f t="shared" ref="J32:N32" si="14">SUM(J28:J31)</f>
        <v>18481</v>
      </c>
      <c r="K32" s="5">
        <f t="shared" si="14"/>
        <v>19486.420000000006</v>
      </c>
      <c r="L32" s="5">
        <f t="shared" si="14"/>
        <v>21345.077000000008</v>
      </c>
      <c r="M32" s="5">
        <f t="shared" si="14"/>
        <v>23020.773410000005</v>
      </c>
      <c r="N32" s="5">
        <f t="shared" si="14"/>
        <v>24830.169085300011</v>
      </c>
      <c r="O32" s="5">
        <f t="shared" ref="O32:P32" si="15">SUM(O28:O31)</f>
        <v>26784.066048749013</v>
      </c>
      <c r="P32" s="5">
        <f t="shared" si="15"/>
        <v>28894.148179505184</v>
      </c>
    </row>
    <row r="33" spans="2:16" x14ac:dyDescent="0.3">
      <c r="C33" s="5"/>
      <c r="D33" s="5"/>
      <c r="E33" s="5"/>
      <c r="F33" s="5"/>
      <c r="G33" s="5"/>
      <c r="H33" s="5"/>
      <c r="I33" s="5"/>
      <c r="J33" s="5"/>
      <c r="K33" s="5"/>
      <c r="L33" s="5"/>
      <c r="M33" s="5"/>
      <c r="N33" s="5"/>
      <c r="O33" s="5"/>
      <c r="P33" s="5"/>
    </row>
    <row r="34" spans="2:16" x14ac:dyDescent="0.3">
      <c r="B34" s="1" t="s">
        <v>53</v>
      </c>
      <c r="C34" s="9">
        <v>50139</v>
      </c>
      <c r="D34" s="9">
        <v>51044</v>
      </c>
      <c r="E34" s="9">
        <v>57697</v>
      </c>
      <c r="F34" s="9">
        <v>60018</v>
      </c>
      <c r="G34" s="9">
        <v>62449</v>
      </c>
      <c r="H34" s="9"/>
      <c r="I34" s="9"/>
      <c r="J34" s="8"/>
      <c r="K34" s="8">
        <f>G34*(1+K12)</f>
        <v>64946.96</v>
      </c>
      <c r="L34" s="8">
        <f>K34*(1+L12)</f>
        <v>67544.838400000008</v>
      </c>
      <c r="M34" s="8">
        <f>L34*(1+M12)</f>
        <v>70246.631936000005</v>
      </c>
      <c r="N34" s="8">
        <f>M34*(1+N12)</f>
        <v>73056.497213440001</v>
      </c>
      <c r="O34" s="8">
        <f>N34*(1+O12)</f>
        <v>75978.757101977608</v>
      </c>
      <c r="P34" s="8">
        <f>O34*(1+P12)</f>
        <v>79017.907386056715</v>
      </c>
    </row>
    <row r="35" spans="2:16" ht="3" customHeight="1" x14ac:dyDescent="0.3">
      <c r="C35" s="7"/>
      <c r="D35" s="7"/>
      <c r="E35" s="7"/>
      <c r="F35" s="7"/>
      <c r="G35" s="7"/>
      <c r="H35" s="7"/>
      <c r="I35" s="7"/>
      <c r="J35" s="7"/>
      <c r="K35" s="7"/>
      <c r="L35" s="7"/>
      <c r="M35" s="7"/>
      <c r="N35" s="7"/>
      <c r="O35" s="7"/>
      <c r="P35" s="7"/>
    </row>
    <row r="36" spans="2:16" x14ac:dyDescent="0.3">
      <c r="B36" s="1" t="s">
        <v>17</v>
      </c>
      <c r="C36" s="5">
        <f>SUM(C32:C35)</f>
        <v>66377</v>
      </c>
      <c r="D36" s="5">
        <f>SUM(D32:D35)</f>
        <v>63904</v>
      </c>
      <c r="E36" s="5">
        <f>SUM(E32:E35)</f>
        <v>71894</v>
      </c>
      <c r="F36" s="5">
        <f>SUM(F32:F35)</f>
        <v>75587</v>
      </c>
      <c r="G36" s="5">
        <f>SUM(G32:G35)</f>
        <v>79973</v>
      </c>
      <c r="H36" s="5"/>
      <c r="I36" s="5"/>
      <c r="J36" s="5"/>
      <c r="K36" s="5">
        <f t="shared" ref="K36:P36" si="16">SUM(K32:K35)</f>
        <v>84433.38</v>
      </c>
      <c r="L36" s="5">
        <f t="shared" si="16"/>
        <v>88889.915400000013</v>
      </c>
      <c r="M36" s="5">
        <f t="shared" si="16"/>
        <v>93267.405346000014</v>
      </c>
      <c r="N36" s="5">
        <f t="shared" si="16"/>
        <v>97886.66629874002</v>
      </c>
      <c r="O36" s="5">
        <f t="shared" si="16"/>
        <v>102762.82315072662</v>
      </c>
      <c r="P36" s="5">
        <f t="shared" si="16"/>
        <v>107912.0555655619</v>
      </c>
    </row>
    <row r="38" spans="2:16" s="3" customFormat="1" ht="20.25" customHeight="1" x14ac:dyDescent="0.45">
      <c r="B38" s="11" t="s">
        <v>130</v>
      </c>
      <c r="C38" s="4"/>
      <c r="D38" s="4"/>
      <c r="E38" s="4"/>
      <c r="F38" s="4"/>
      <c r="G38" s="4"/>
      <c r="H38" s="13"/>
      <c r="I38" s="13"/>
      <c r="J38" s="13"/>
      <c r="K38" s="13"/>
      <c r="L38" s="13"/>
      <c r="M38" s="13"/>
      <c r="N38" s="13"/>
      <c r="O38" s="13"/>
      <c r="P38" s="13"/>
    </row>
    <row r="39" spans="2:16" x14ac:dyDescent="0.3">
      <c r="B39" s="1" t="s">
        <v>50</v>
      </c>
      <c r="C39" s="9">
        <v>1453</v>
      </c>
      <c r="D39" s="9">
        <v>931</v>
      </c>
      <c r="E39" s="9">
        <v>1085</v>
      </c>
      <c r="F39" s="9">
        <v>1369</v>
      </c>
      <c r="G39" s="9">
        <v>1652</v>
      </c>
      <c r="H39" s="9">
        <v>1251</v>
      </c>
      <c r="I39" s="9">
        <v>1357</v>
      </c>
      <c r="J39" s="8">
        <f>+I39+G39-H39</f>
        <v>1758</v>
      </c>
      <c r="K39" s="8">
        <f t="shared" ref="K39:P41" si="17">K17*K28</f>
        <v>1854.7558400000005</v>
      </c>
      <c r="L39" s="8">
        <f t="shared" si="17"/>
        <v>2094.8804800000007</v>
      </c>
      <c r="M39" s="8">
        <f t="shared" si="17"/>
        <v>2321.4918988800005</v>
      </c>
      <c r="N39" s="8">
        <f t="shared" si="17"/>
        <v>2549.706356736001</v>
      </c>
      <c r="O39" s="8">
        <f t="shared" si="17"/>
        <v>2753.6828652748809</v>
      </c>
      <c r="P39" s="8">
        <f t="shared" si="17"/>
        <v>2973.9774944968717</v>
      </c>
    </row>
    <row r="40" spans="2:16" x14ac:dyDescent="0.3">
      <c r="B40" s="1" t="s">
        <v>51</v>
      </c>
      <c r="C40" s="10">
        <v>223</v>
      </c>
      <c r="D40" s="10">
        <v>163</v>
      </c>
      <c r="E40" s="10">
        <v>205</v>
      </c>
      <c r="F40" s="10">
        <v>231</v>
      </c>
      <c r="G40" s="10">
        <v>244</v>
      </c>
      <c r="H40" s="10">
        <v>195</v>
      </c>
      <c r="I40" s="10">
        <v>207</v>
      </c>
      <c r="J40" s="8">
        <f>+I40+G40-H40</f>
        <v>256</v>
      </c>
      <c r="K40" s="8">
        <f t="shared" si="17"/>
        <v>262.75619999999998</v>
      </c>
      <c r="L40" s="8">
        <f t="shared" si="17"/>
        <v>279.67338000000001</v>
      </c>
      <c r="M40" s="8">
        <f t="shared" si="17"/>
        <v>297.62538750000004</v>
      </c>
      <c r="N40" s="8">
        <f t="shared" si="17"/>
        <v>312.50665687500009</v>
      </c>
      <c r="O40" s="8">
        <f t="shared" si="17"/>
        <v>328.13198971875011</v>
      </c>
      <c r="P40" s="8">
        <f t="shared" si="17"/>
        <v>344.53858920468764</v>
      </c>
    </row>
    <row r="41" spans="2:16" x14ac:dyDescent="0.3">
      <c r="B41" s="1" t="s">
        <v>52</v>
      </c>
      <c r="C41" s="10">
        <v>116</v>
      </c>
      <c r="D41" s="10">
        <v>83</v>
      </c>
      <c r="E41" s="10">
        <v>79</v>
      </c>
      <c r="F41" s="10">
        <v>82</v>
      </c>
      <c r="G41" s="10">
        <v>88</v>
      </c>
      <c r="H41" s="10">
        <v>62</v>
      </c>
      <c r="I41" s="10">
        <v>62</v>
      </c>
      <c r="J41" s="8">
        <f>+I41+G41-H41</f>
        <v>88</v>
      </c>
      <c r="K41" s="8">
        <f t="shared" si="17"/>
        <v>92.364800000000017</v>
      </c>
      <c r="L41" s="8">
        <f t="shared" si="17"/>
        <v>105.31840000000003</v>
      </c>
      <c r="M41" s="8">
        <f t="shared" si="17"/>
        <v>122.66496000000004</v>
      </c>
      <c r="N41" s="8">
        <f t="shared" si="17"/>
        <v>134.93145600000005</v>
      </c>
      <c r="O41" s="8">
        <f t="shared" si="17"/>
        <v>148.42460160000007</v>
      </c>
      <c r="P41" s="8">
        <f t="shared" si="17"/>
        <v>163.2670617600001</v>
      </c>
    </row>
    <row r="42" spans="2:16" ht="3" customHeight="1" x14ac:dyDescent="0.3">
      <c r="C42" s="7"/>
      <c r="D42" s="7"/>
      <c r="E42" s="7"/>
      <c r="F42" s="7"/>
      <c r="G42" s="7"/>
      <c r="H42" s="7"/>
      <c r="I42" s="7"/>
      <c r="J42" s="7"/>
      <c r="K42" s="7"/>
      <c r="L42" s="7"/>
      <c r="M42" s="7"/>
      <c r="N42" s="7"/>
      <c r="O42" s="7"/>
      <c r="P42" s="7"/>
    </row>
    <row r="43" spans="2:16" x14ac:dyDescent="0.3">
      <c r="B43" s="1" t="s">
        <v>54</v>
      </c>
      <c r="C43" s="5">
        <f>SUM(C39:C42)</f>
        <v>1792</v>
      </c>
      <c r="D43" s="5">
        <f t="shared" ref="D43:G43" si="18">SUM(D39:D42)</f>
        <v>1177</v>
      </c>
      <c r="E43" s="5">
        <f t="shared" si="18"/>
        <v>1369</v>
      </c>
      <c r="F43" s="5">
        <f t="shared" si="18"/>
        <v>1682</v>
      </c>
      <c r="G43" s="5">
        <f t="shared" si="18"/>
        <v>1984</v>
      </c>
      <c r="H43" s="5">
        <f t="shared" ref="H43" si="19">SUM(H39:H42)</f>
        <v>1508</v>
      </c>
      <c r="I43" s="5">
        <f t="shared" ref="I43" si="20">SUM(I39:I42)</f>
        <v>1626</v>
      </c>
      <c r="J43" s="5">
        <f t="shared" ref="J43" si="21">SUM(J39:J42)</f>
        <v>2102</v>
      </c>
      <c r="K43" s="5">
        <f t="shared" ref="K43" si="22">SUM(K39:K42)</f>
        <v>2209.8768400000004</v>
      </c>
      <c r="L43" s="5">
        <f t="shared" ref="L43:M43" si="23">SUM(L39:L42)</f>
        <v>2479.872260000001</v>
      </c>
      <c r="M43" s="5">
        <f t="shared" si="23"/>
        <v>2741.7822463800007</v>
      </c>
      <c r="N43" s="5">
        <f t="shared" ref="N43:O43" si="24">SUM(N39:N42)</f>
        <v>2997.1444696110011</v>
      </c>
      <c r="O43" s="5">
        <f t="shared" si="24"/>
        <v>3230.2394565936311</v>
      </c>
      <c r="P43" s="5">
        <f t="shared" ref="P43" si="25">SUM(P39:P42)</f>
        <v>3481.7831454615593</v>
      </c>
    </row>
    <row r="44" spans="2:16" x14ac:dyDescent="0.3">
      <c r="C44" s="5"/>
      <c r="D44" s="5"/>
      <c r="E44" s="5"/>
      <c r="F44" s="5"/>
      <c r="G44" s="5"/>
      <c r="H44" s="5"/>
      <c r="I44" s="5"/>
      <c r="J44" s="5"/>
      <c r="K44" s="5"/>
      <c r="L44" s="5"/>
      <c r="M44" s="5"/>
      <c r="N44" s="5"/>
      <c r="O44" s="5"/>
      <c r="P44" s="5"/>
    </row>
    <row r="45" spans="2:16" x14ac:dyDescent="0.3">
      <c r="B45" s="1" t="s">
        <v>53</v>
      </c>
      <c r="C45" s="9">
        <v>215</v>
      </c>
      <c r="D45" s="9">
        <v>141</v>
      </c>
      <c r="E45" s="9">
        <v>147</v>
      </c>
      <c r="F45" s="9">
        <v>173</v>
      </c>
      <c r="G45" s="9">
        <v>210</v>
      </c>
      <c r="H45" s="9">
        <v>153</v>
      </c>
      <c r="I45" s="9">
        <v>183</v>
      </c>
      <c r="J45" s="8">
        <f>+I45+G45-H45</f>
        <v>240</v>
      </c>
      <c r="K45" s="8">
        <f t="shared" ref="K45:P45" si="26">K23*K34</f>
        <v>218.39999999999998</v>
      </c>
      <c r="L45" s="8">
        <f t="shared" si="26"/>
        <v>227.13600000000002</v>
      </c>
      <c r="M45" s="8">
        <f t="shared" si="26"/>
        <v>236.22144</v>
      </c>
      <c r="N45" s="8">
        <f t="shared" si="26"/>
        <v>245.6702976</v>
      </c>
      <c r="O45" s="8">
        <f t="shared" si="26"/>
        <v>255.49710950400001</v>
      </c>
      <c r="P45" s="8">
        <f t="shared" si="26"/>
        <v>265.71699388416005</v>
      </c>
    </row>
    <row r="46" spans="2:16" ht="3" customHeight="1" x14ac:dyDescent="0.3">
      <c r="C46" s="7"/>
      <c r="D46" s="7"/>
      <c r="E46" s="7"/>
      <c r="F46" s="7"/>
      <c r="G46" s="7"/>
      <c r="H46" s="7"/>
      <c r="I46" s="7"/>
      <c r="J46" s="7"/>
      <c r="K46" s="7"/>
      <c r="L46" s="7"/>
      <c r="M46" s="7"/>
      <c r="N46" s="7"/>
      <c r="O46" s="7"/>
      <c r="P46" s="7"/>
    </row>
    <row r="47" spans="2:16" x14ac:dyDescent="0.3">
      <c r="B47" s="1" t="s">
        <v>17</v>
      </c>
      <c r="C47" s="5">
        <f>SUM(C43:C46)</f>
        <v>2007</v>
      </c>
      <c r="D47" s="5">
        <f t="shared" ref="D47:G47" si="27">SUM(D43:D46)</f>
        <v>1318</v>
      </c>
      <c r="E47" s="5">
        <f t="shared" si="27"/>
        <v>1516</v>
      </c>
      <c r="F47" s="5">
        <f t="shared" si="27"/>
        <v>1855</v>
      </c>
      <c r="G47" s="5">
        <f t="shared" si="27"/>
        <v>2194</v>
      </c>
      <c r="H47" s="5">
        <f t="shared" ref="H47" si="28">SUM(H43:H46)</f>
        <v>1661</v>
      </c>
      <c r="I47" s="5">
        <f t="shared" ref="I47" si="29">SUM(I43:I46)</f>
        <v>1809</v>
      </c>
      <c r="J47" s="5">
        <f t="shared" ref="J47" si="30">SUM(J43:J46)</f>
        <v>2342</v>
      </c>
      <c r="K47" s="5">
        <f t="shared" ref="K47:L47" si="31">SUM(K43:K46)</f>
        <v>2428.2768400000004</v>
      </c>
      <c r="L47" s="5">
        <f t="shared" si="31"/>
        <v>2707.008260000001</v>
      </c>
      <c r="M47" s="5">
        <f t="shared" ref="M47" si="32">SUM(M43:M46)</f>
        <v>2978.0036863800005</v>
      </c>
      <c r="N47" s="5">
        <f t="shared" ref="N47:O47" si="33">SUM(N43:N46)</f>
        <v>3242.8147672110013</v>
      </c>
      <c r="O47" s="5">
        <f t="shared" si="33"/>
        <v>3485.7365660976311</v>
      </c>
      <c r="P47" s="5">
        <f t="shared" ref="P47" si="34">SUM(P43:P46)</f>
        <v>3747.5001393457196</v>
      </c>
    </row>
    <row r="48" spans="2:16" x14ac:dyDescent="0.3">
      <c r="D48" s="14"/>
    </row>
    <row r="49" spans="2:16" s="3" customFormat="1" ht="20.25" customHeight="1" x14ac:dyDescent="0.45">
      <c r="B49" s="11" t="s">
        <v>56</v>
      </c>
      <c r="C49" s="4"/>
      <c r="D49" s="4"/>
      <c r="E49" s="4"/>
      <c r="F49" s="4"/>
      <c r="G49" s="4"/>
      <c r="H49" s="13"/>
      <c r="I49" s="13"/>
      <c r="J49" s="13"/>
      <c r="K49" s="13"/>
      <c r="L49" s="13"/>
      <c r="M49" s="13"/>
      <c r="N49" s="13"/>
      <c r="O49" s="13"/>
      <c r="P49" s="13"/>
    </row>
    <row r="50" spans="2:16" x14ac:dyDescent="0.3">
      <c r="B50" s="1" t="s">
        <v>50</v>
      </c>
      <c r="C50" s="37">
        <f t="shared" ref="C50:G52" si="35">C39/C$47</f>
        <v>0.72396611858495263</v>
      </c>
      <c r="D50" s="37">
        <f t="shared" si="35"/>
        <v>0.70637329286798178</v>
      </c>
      <c r="E50" s="37">
        <f t="shared" si="35"/>
        <v>0.71569920844327173</v>
      </c>
      <c r="F50" s="37">
        <f t="shared" si="35"/>
        <v>0.73800539083557948</v>
      </c>
      <c r="G50" s="37">
        <f t="shared" si="35"/>
        <v>0.75296262534184144</v>
      </c>
      <c r="H50" s="37">
        <f t="shared" ref="H50:N50" si="36">H39/H$47</f>
        <v>0.75316074653822995</v>
      </c>
      <c r="I50" s="37">
        <f t="shared" si="36"/>
        <v>0.75013819789939196</v>
      </c>
      <c r="J50" s="37">
        <f t="shared" si="36"/>
        <v>0.75064047822374036</v>
      </c>
      <c r="K50" s="37">
        <f t="shared" si="36"/>
        <v>0.76381564467748253</v>
      </c>
      <c r="L50" s="37">
        <f t="shared" si="36"/>
        <v>0.77387295449183446</v>
      </c>
      <c r="M50" s="37">
        <f t="shared" si="36"/>
        <v>0.77954634827935954</v>
      </c>
      <c r="N50" s="37">
        <f t="shared" si="36"/>
        <v>0.78626333595023323</v>
      </c>
      <c r="O50" s="37">
        <f t="shared" ref="O50:P50" si="37">O39/O$47</f>
        <v>0.78998593641793691</v>
      </c>
      <c r="P50" s="37">
        <f t="shared" si="37"/>
        <v>0.79358969550728342</v>
      </c>
    </row>
    <row r="51" spans="2:16" x14ac:dyDescent="0.3">
      <c r="B51" s="1" t="s">
        <v>51</v>
      </c>
      <c r="C51" s="37">
        <f t="shared" si="35"/>
        <v>0.1111111111111111</v>
      </c>
      <c r="D51" s="37">
        <f t="shared" si="35"/>
        <v>0.1236722306525038</v>
      </c>
      <c r="E51" s="37">
        <f t="shared" si="35"/>
        <v>0.13522427440633245</v>
      </c>
      <c r="F51" s="37">
        <f t="shared" si="35"/>
        <v>0.12452830188679245</v>
      </c>
      <c r="G51" s="37">
        <f t="shared" si="35"/>
        <v>0.11121239744758432</v>
      </c>
      <c r="H51" s="37">
        <f t="shared" ref="H51:N51" si="38">H40/H$47</f>
        <v>0.11739915713425647</v>
      </c>
      <c r="I51" s="37">
        <f t="shared" si="38"/>
        <v>0.11442786069651742</v>
      </c>
      <c r="J51" s="37">
        <f t="shared" si="38"/>
        <v>0.10930828351836037</v>
      </c>
      <c r="K51" s="37">
        <f t="shared" si="38"/>
        <v>0.10820685503058207</v>
      </c>
      <c r="L51" s="37">
        <f t="shared" si="38"/>
        <v>0.10331456469216681</v>
      </c>
      <c r="M51" s="37">
        <f t="shared" si="38"/>
        <v>9.9941242135192676E-2</v>
      </c>
      <c r="N51" s="37">
        <f t="shared" si="38"/>
        <v>9.6368950837044873E-2</v>
      </c>
      <c r="O51" s="37">
        <f t="shared" ref="O51:P51" si="39">O40/O$47</f>
        <v>9.4135624851909572E-2</v>
      </c>
      <c r="P51" s="37">
        <f t="shared" si="39"/>
        <v>9.1938245868842319E-2</v>
      </c>
    </row>
    <row r="52" spans="2:16" x14ac:dyDescent="0.3">
      <c r="B52" s="1" t="s">
        <v>52</v>
      </c>
      <c r="C52" s="37">
        <f t="shared" si="35"/>
        <v>5.7797708021923272E-2</v>
      </c>
      <c r="D52" s="37">
        <f t="shared" si="35"/>
        <v>6.2974203338391502E-2</v>
      </c>
      <c r="E52" s="37">
        <f t="shared" si="35"/>
        <v>5.2110817941952506E-2</v>
      </c>
      <c r="F52" s="37">
        <f t="shared" si="35"/>
        <v>4.4204851752021566E-2</v>
      </c>
      <c r="G52" s="37">
        <f t="shared" si="35"/>
        <v>4.0109389243391066E-2</v>
      </c>
      <c r="H52" s="37">
        <f t="shared" ref="H52:N52" si="40">H41/H$47</f>
        <v>3.7326911499096928E-2</v>
      </c>
      <c r="I52" s="37">
        <f t="shared" si="40"/>
        <v>3.4273079049198449E-2</v>
      </c>
      <c r="J52" s="37">
        <f t="shared" si="40"/>
        <v>3.7574722459436376E-2</v>
      </c>
      <c r="K52" s="37">
        <f t="shared" si="40"/>
        <v>3.803717866040348E-2</v>
      </c>
      <c r="L52" s="37">
        <f t="shared" si="40"/>
        <v>3.8905828828169141E-2</v>
      </c>
      <c r="M52" s="37">
        <f t="shared" si="40"/>
        <v>4.1190331818933716E-2</v>
      </c>
      <c r="N52" s="37">
        <f t="shared" si="40"/>
        <v>4.1609362756186201E-2</v>
      </c>
      <c r="O52" s="37">
        <f t="shared" ref="O52:P52" si="41">O41/O$47</f>
        <v>4.2580556156647575E-2</v>
      </c>
      <c r="P52" s="37">
        <f t="shared" si="41"/>
        <v>4.3566926134525799E-2</v>
      </c>
    </row>
    <row r="53" spans="2:16" ht="3" customHeight="1" x14ac:dyDescent="0.3">
      <c r="C53" s="38"/>
      <c r="D53" s="38"/>
      <c r="E53" s="38"/>
      <c r="F53" s="38"/>
      <c r="G53" s="38"/>
      <c r="H53" s="38"/>
      <c r="I53" s="38"/>
      <c r="J53" s="38"/>
      <c r="K53" s="38"/>
      <c r="L53" s="38"/>
      <c r="M53" s="38"/>
      <c r="N53" s="38"/>
      <c r="O53" s="38"/>
      <c r="P53" s="38"/>
    </row>
    <row r="54" spans="2:16" x14ac:dyDescent="0.3">
      <c r="B54" s="1" t="s">
        <v>54</v>
      </c>
      <c r="C54" s="37">
        <f>C43/C$47</f>
        <v>0.89287493771798709</v>
      </c>
      <c r="D54" s="37">
        <f>D43/D$47</f>
        <v>0.89301972685887709</v>
      </c>
      <c r="E54" s="37">
        <f>E43/E$47</f>
        <v>0.90303430079155678</v>
      </c>
      <c r="F54" s="37">
        <f>F43/F$47</f>
        <v>0.9067385444743935</v>
      </c>
      <c r="G54" s="37">
        <f>G43/G$47</f>
        <v>0.90428441203281673</v>
      </c>
      <c r="H54" s="37">
        <f t="shared" ref="H54:N54" si="42">H43/H$47</f>
        <v>0.90788681517158343</v>
      </c>
      <c r="I54" s="37">
        <f t="shared" si="42"/>
        <v>0.89883913764510781</v>
      </c>
      <c r="J54" s="37">
        <f t="shared" si="42"/>
        <v>0.89752348420153716</v>
      </c>
      <c r="K54" s="37">
        <f t="shared" si="42"/>
        <v>0.91005967836846802</v>
      </c>
      <c r="L54" s="37">
        <f t="shared" si="42"/>
        <v>0.91609334801217046</v>
      </c>
      <c r="M54" s="37">
        <f t="shared" si="42"/>
        <v>0.92067792223348599</v>
      </c>
      <c r="N54" s="37">
        <f t="shared" si="42"/>
        <v>0.92424164954346433</v>
      </c>
      <c r="O54" s="37">
        <f t="shared" ref="O54:P54" si="43">O43/O$47</f>
        <v>0.926702117426494</v>
      </c>
      <c r="P54" s="37">
        <f t="shared" si="43"/>
        <v>0.92909486751065151</v>
      </c>
    </row>
    <row r="55" spans="2:16" x14ac:dyDescent="0.3">
      <c r="C55" s="39"/>
      <c r="D55" s="39"/>
      <c r="E55" s="39"/>
      <c r="F55" s="39"/>
      <c r="G55" s="39"/>
      <c r="H55" s="39"/>
      <c r="I55" s="39"/>
      <c r="J55" s="39"/>
      <c r="K55" s="39"/>
      <c r="L55" s="39"/>
      <c r="M55" s="39"/>
      <c r="N55" s="39"/>
      <c r="O55" s="39"/>
      <c r="P55" s="39"/>
    </row>
    <row r="56" spans="2:16" x14ac:dyDescent="0.3">
      <c r="B56" s="1" t="s">
        <v>53</v>
      </c>
      <c r="C56" s="37">
        <f>C45/C$47</f>
        <v>0.10712506228201295</v>
      </c>
      <c r="D56" s="37">
        <f>D45/D$47</f>
        <v>0.10698027314112292</v>
      </c>
      <c r="E56" s="37">
        <f>E45/E$47</f>
        <v>9.6965699208443265E-2</v>
      </c>
      <c r="F56" s="37">
        <f>F45/F$47</f>
        <v>9.3261455525606468E-2</v>
      </c>
      <c r="G56" s="37">
        <f>G45/G$47</f>
        <v>9.5715587967183227E-2</v>
      </c>
      <c r="H56" s="37">
        <f t="shared" ref="H56:N56" si="44">H45/H$47</f>
        <v>9.2113184828416614E-2</v>
      </c>
      <c r="I56" s="37">
        <f t="shared" si="44"/>
        <v>0.1011608623548922</v>
      </c>
      <c r="J56" s="37">
        <f t="shared" si="44"/>
        <v>0.10247651579846286</v>
      </c>
      <c r="K56" s="37">
        <f t="shared" si="44"/>
        <v>8.99403216315319E-2</v>
      </c>
      <c r="L56" s="37">
        <f t="shared" si="44"/>
        <v>8.3906651987829525E-2</v>
      </c>
      <c r="M56" s="37">
        <f t="shared" si="44"/>
        <v>7.9322077766514079E-2</v>
      </c>
      <c r="N56" s="37">
        <f t="shared" si="44"/>
        <v>7.5758350456535617E-2</v>
      </c>
      <c r="O56" s="37">
        <f t="shared" ref="O56:P56" si="45">O45/O$47</f>
        <v>7.3297882573505946E-2</v>
      </c>
      <c r="P56" s="37">
        <f t="shared" si="45"/>
        <v>7.090513248934846E-2</v>
      </c>
    </row>
    <row r="57" spans="2:16" ht="3" customHeight="1" x14ac:dyDescent="0.3">
      <c r="C57" s="38"/>
      <c r="D57" s="38"/>
      <c r="E57" s="38"/>
      <c r="F57" s="38"/>
      <c r="G57" s="38"/>
      <c r="H57" s="38"/>
      <c r="I57" s="38"/>
      <c r="J57" s="38"/>
      <c r="K57" s="38"/>
      <c r="L57" s="38"/>
      <c r="M57" s="38"/>
      <c r="N57" s="38"/>
      <c r="O57" s="38"/>
      <c r="P57" s="38"/>
    </row>
    <row r="58" spans="2:16" x14ac:dyDescent="0.3">
      <c r="B58" s="1" t="s">
        <v>17</v>
      </c>
      <c r="C58" s="37">
        <f>C47/C$47</f>
        <v>1</v>
      </c>
      <c r="D58" s="37">
        <f>D47/D$47</f>
        <v>1</v>
      </c>
      <c r="E58" s="37">
        <f>E47/E$47</f>
        <v>1</v>
      </c>
      <c r="F58" s="37">
        <f>F47/F$47</f>
        <v>1</v>
      </c>
      <c r="G58" s="37">
        <f>G47/G$47</f>
        <v>1</v>
      </c>
      <c r="H58" s="37">
        <f t="shared" ref="H58:N58" si="46">H47/H$47</f>
        <v>1</v>
      </c>
      <c r="I58" s="37">
        <f t="shared" si="46"/>
        <v>1</v>
      </c>
      <c r="J58" s="37">
        <f t="shared" si="46"/>
        <v>1</v>
      </c>
      <c r="K58" s="37">
        <f t="shared" si="46"/>
        <v>1</v>
      </c>
      <c r="L58" s="37">
        <f t="shared" si="46"/>
        <v>1</v>
      </c>
      <c r="M58" s="37">
        <f t="shared" si="46"/>
        <v>1</v>
      </c>
      <c r="N58" s="37">
        <f t="shared" si="46"/>
        <v>1</v>
      </c>
      <c r="O58" s="37">
        <f t="shared" ref="O58:P58" si="47">O47/O$47</f>
        <v>1</v>
      </c>
      <c r="P58" s="37">
        <f t="shared" si="47"/>
        <v>1</v>
      </c>
    </row>
    <row r="59" spans="2:16" hidden="1" outlineLevel="1" x14ac:dyDescent="0.3"/>
    <row r="60" spans="2:16" s="3" customFormat="1" ht="20.25" hidden="1" customHeight="1" outlineLevel="1" x14ac:dyDescent="0.45">
      <c r="B60" s="11" t="s">
        <v>66</v>
      </c>
      <c r="C60" s="4"/>
      <c r="D60" s="4"/>
      <c r="E60" s="4"/>
      <c r="F60" s="4"/>
      <c r="G60" s="4"/>
      <c r="H60" s="13"/>
      <c r="I60" s="13"/>
      <c r="J60" s="13"/>
      <c r="K60" s="13"/>
      <c r="L60" s="13"/>
      <c r="M60" s="13"/>
      <c r="N60" s="13"/>
      <c r="O60" s="13"/>
      <c r="P60" s="13"/>
    </row>
    <row r="61" spans="2:16" hidden="1" outlineLevel="1" x14ac:dyDescent="0.3">
      <c r="B61" s="1" t="s">
        <v>50</v>
      </c>
      <c r="C61" s="9">
        <v>3298</v>
      </c>
      <c r="D61" s="9">
        <v>2352</v>
      </c>
      <c r="E61" s="9">
        <v>2311</v>
      </c>
      <c r="F61" s="9">
        <v>2474</v>
      </c>
      <c r="G61" s="9">
        <v>2570</v>
      </c>
      <c r="H61" s="9"/>
      <c r="I61" s="9"/>
      <c r="J61" s="9">
        <v>2596</v>
      </c>
      <c r="K61" s="9"/>
      <c r="L61" s="9"/>
      <c r="M61" s="9"/>
      <c r="N61" s="9"/>
      <c r="O61" s="9"/>
      <c r="P61" s="9"/>
    </row>
    <row r="62" spans="2:16" hidden="1" outlineLevel="1" x14ac:dyDescent="0.3">
      <c r="B62" s="1" t="s">
        <v>51</v>
      </c>
      <c r="C62" s="10">
        <v>453</v>
      </c>
      <c r="D62" s="10">
        <v>434</v>
      </c>
      <c r="E62" s="10">
        <v>433</v>
      </c>
      <c r="F62" s="10">
        <v>434</v>
      </c>
      <c r="G62" s="10">
        <v>437</v>
      </c>
      <c r="H62" s="10"/>
      <c r="I62" s="10"/>
      <c r="J62" s="9">
        <v>437</v>
      </c>
      <c r="K62" s="9"/>
      <c r="L62" s="9"/>
      <c r="M62" s="9"/>
      <c r="N62" s="9"/>
      <c r="O62" s="9"/>
      <c r="P62" s="9"/>
    </row>
    <row r="63" spans="2:16" hidden="1" outlineLevel="1" x14ac:dyDescent="0.3">
      <c r="B63" s="1" t="s">
        <v>52</v>
      </c>
      <c r="C63" s="10">
        <v>117</v>
      </c>
      <c r="D63" s="10">
        <v>115</v>
      </c>
      <c r="E63" s="10">
        <v>132</v>
      </c>
      <c r="F63" s="10">
        <v>136</v>
      </c>
      <c r="G63" s="10">
        <v>149</v>
      </c>
      <c r="H63" s="10"/>
      <c r="I63" s="10"/>
      <c r="J63" s="9">
        <v>162</v>
      </c>
      <c r="K63" s="9"/>
      <c r="L63" s="9"/>
      <c r="M63" s="9"/>
      <c r="N63" s="9"/>
      <c r="O63" s="9"/>
      <c r="P63" s="9"/>
    </row>
    <row r="64" spans="2:16" ht="3" hidden="1" customHeight="1" outlineLevel="1" x14ac:dyDescent="0.3">
      <c r="C64" s="7"/>
      <c r="D64" s="7"/>
      <c r="E64" s="7"/>
      <c r="F64" s="7"/>
      <c r="G64" s="7"/>
      <c r="H64" s="7"/>
      <c r="I64" s="7"/>
      <c r="J64" s="7"/>
      <c r="K64" s="7"/>
      <c r="L64" s="7"/>
      <c r="M64" s="7"/>
      <c r="N64" s="7"/>
      <c r="O64" s="7"/>
      <c r="P64" s="7"/>
    </row>
    <row r="65" spans="2:16" hidden="1" outlineLevel="1" x14ac:dyDescent="0.3">
      <c r="B65" s="1" t="s">
        <v>54</v>
      </c>
      <c r="C65" s="5">
        <f>SUM(C61:C64)</f>
        <v>3868</v>
      </c>
      <c r="D65" s="5">
        <f>SUM(D61:D64)</f>
        <v>2901</v>
      </c>
      <c r="E65" s="5">
        <f t="shared" ref="E65" si="48">SUM(E61:E64)</f>
        <v>2876</v>
      </c>
      <c r="F65" s="5">
        <f t="shared" ref="F65" si="49">SUM(F61:F64)</f>
        <v>3044</v>
      </c>
      <c r="G65" s="5">
        <f t="shared" ref="G65" si="50">SUM(G61:G64)</f>
        <v>3156</v>
      </c>
      <c r="H65" s="5"/>
      <c r="I65" s="5"/>
      <c r="J65" s="5">
        <f t="shared" ref="J65" si="51">SUM(J61:J64)</f>
        <v>3195</v>
      </c>
      <c r="K65" s="5">
        <f t="shared" ref="K65" si="52">SUM(K61:K64)</f>
        <v>0</v>
      </c>
      <c r="L65" s="5"/>
      <c r="M65" s="5">
        <f t="shared" ref="M65" si="53">SUM(M61:M64)</f>
        <v>0</v>
      </c>
      <c r="N65" s="5">
        <f t="shared" ref="N65:O65" si="54">SUM(N61:N64)</f>
        <v>0</v>
      </c>
      <c r="O65" s="5">
        <f t="shared" si="54"/>
        <v>0</v>
      </c>
      <c r="P65" s="5">
        <f t="shared" ref="P65" si="55">SUM(P61:P64)</f>
        <v>0</v>
      </c>
    </row>
    <row r="66" spans="2:16" hidden="1" outlineLevel="1" x14ac:dyDescent="0.3">
      <c r="C66" s="5"/>
      <c r="D66" s="5"/>
      <c r="E66" s="5"/>
      <c r="F66" s="5"/>
      <c r="G66" s="5"/>
      <c r="H66" s="5"/>
      <c r="I66" s="5"/>
      <c r="J66" s="5"/>
      <c r="K66" s="5"/>
      <c r="L66" s="5"/>
      <c r="M66" s="5"/>
      <c r="N66" s="5"/>
      <c r="O66" s="5"/>
      <c r="P66" s="5"/>
    </row>
    <row r="67" spans="2:16" hidden="1" outlineLevel="1" x14ac:dyDescent="0.3">
      <c r="B67" s="1" t="s">
        <v>53</v>
      </c>
      <c r="C67" s="9">
        <v>1594</v>
      </c>
      <c r="D67" s="9">
        <v>1532</v>
      </c>
      <c r="E67" s="9">
        <v>1411</v>
      </c>
      <c r="F67" s="9">
        <v>773</v>
      </c>
      <c r="G67" s="9">
        <v>883</v>
      </c>
      <c r="H67" s="9"/>
      <c r="I67" s="9"/>
      <c r="J67" s="9">
        <v>858</v>
      </c>
      <c r="K67" s="9"/>
      <c r="L67" s="9"/>
      <c r="M67" s="9"/>
      <c r="N67" s="9"/>
      <c r="O67" s="9"/>
      <c r="P67" s="9"/>
    </row>
    <row r="68" spans="2:16" ht="3" hidden="1" customHeight="1" outlineLevel="1" x14ac:dyDescent="0.3">
      <c r="C68" s="7"/>
      <c r="D68" s="7"/>
      <c r="E68" s="7"/>
      <c r="F68" s="7"/>
      <c r="G68" s="7"/>
      <c r="H68" s="7"/>
      <c r="I68" s="7"/>
      <c r="J68" s="7"/>
      <c r="K68" s="7"/>
      <c r="L68" s="7"/>
      <c r="M68" s="7"/>
      <c r="N68" s="7"/>
      <c r="O68" s="7"/>
      <c r="P68" s="7"/>
    </row>
    <row r="69" spans="2:16" hidden="1" outlineLevel="1" x14ac:dyDescent="0.3">
      <c r="B69" s="1" t="s">
        <v>17</v>
      </c>
      <c r="C69" s="5">
        <f>SUM(C65:C68)</f>
        <v>5462</v>
      </c>
      <c r="D69" s="5">
        <f t="shared" ref="D69" si="56">SUM(D65:D68)</f>
        <v>4433</v>
      </c>
      <c r="E69" s="5">
        <f t="shared" ref="E69" si="57">SUM(E65:E68)</f>
        <v>4287</v>
      </c>
      <c r="F69" s="5">
        <f t="shared" ref="F69" si="58">SUM(F65:F68)</f>
        <v>3817</v>
      </c>
      <c r="G69" s="5">
        <f t="shared" ref="G69" si="59">SUM(G65:G68)</f>
        <v>4039</v>
      </c>
      <c r="H69" s="5"/>
      <c r="I69" s="5"/>
      <c r="J69" s="5">
        <f t="shared" ref="J69" si="60">SUM(J65:J68)</f>
        <v>4053</v>
      </c>
      <c r="K69" s="5">
        <f t="shared" ref="K69" si="61">SUM(K65:K68)</f>
        <v>0</v>
      </c>
      <c r="L69" s="5"/>
      <c r="M69" s="5">
        <f t="shared" ref="M69" si="62">SUM(M65:M68)</f>
        <v>0</v>
      </c>
      <c r="N69" s="5">
        <f t="shared" ref="N69:O69" si="63">SUM(N65:N68)</f>
        <v>0</v>
      </c>
      <c r="O69" s="5">
        <f t="shared" si="63"/>
        <v>0</v>
      </c>
      <c r="P69" s="5">
        <f t="shared" ref="P69" si="64">SUM(P65:P68)</f>
        <v>0</v>
      </c>
    </row>
    <row r="70" spans="2:16" hidden="1" outlineLevel="1" x14ac:dyDescent="0.3">
      <c r="D70" s="14"/>
    </row>
    <row r="71" spans="2:16" s="3" customFormat="1" ht="20.25" hidden="1" customHeight="1" outlineLevel="1" x14ac:dyDescent="0.45">
      <c r="B71" s="11" t="s">
        <v>58</v>
      </c>
      <c r="C71" s="4"/>
      <c r="D71" s="4"/>
      <c r="E71" s="4"/>
      <c r="F71" s="4"/>
      <c r="G71" s="4"/>
      <c r="H71" s="13"/>
      <c r="I71" s="13"/>
      <c r="J71" s="13"/>
      <c r="K71" s="13"/>
      <c r="L71" s="13"/>
      <c r="M71" s="13"/>
      <c r="N71" s="13"/>
      <c r="O71" s="13"/>
      <c r="P71" s="13"/>
    </row>
    <row r="72" spans="2:16" hidden="1" outlineLevel="1" x14ac:dyDescent="0.3">
      <c r="B72" s="1" t="s">
        <v>57</v>
      </c>
      <c r="C72" s="39">
        <f t="shared" ref="C72:P72" si="65">+C17</f>
        <v>0.1076535526413277</v>
      </c>
      <c r="D72" s="39">
        <f t="shared" si="65"/>
        <v>8.7805338111855133E-2</v>
      </c>
      <c r="E72" s="39">
        <f t="shared" si="65"/>
        <v>9.2183517417162283E-2</v>
      </c>
      <c r="F72" s="39">
        <f t="shared" si="65"/>
        <v>0.10519440602428154</v>
      </c>
      <c r="G72" s="39">
        <f t="shared" si="65"/>
        <v>0.11172730961720546</v>
      </c>
      <c r="H72" s="39">
        <f t="shared" si="65"/>
        <v>0.11248988400323712</v>
      </c>
      <c r="I72" s="39">
        <f t="shared" si="65"/>
        <v>0.11327212020033389</v>
      </c>
      <c r="J72" s="39">
        <f t="shared" si="65"/>
        <v>0.11236816874400767</v>
      </c>
      <c r="K72" s="39">
        <f t="shared" si="65"/>
        <v>0.112</v>
      </c>
      <c r="L72" s="39">
        <f t="shared" si="65"/>
        <v>0.115</v>
      </c>
      <c r="M72" s="39">
        <f t="shared" si="65"/>
        <v>0.11799999999999999</v>
      </c>
      <c r="N72" s="39">
        <f t="shared" si="65"/>
        <v>0.12</v>
      </c>
      <c r="O72" s="39">
        <f t="shared" si="65"/>
        <v>0.12</v>
      </c>
      <c r="P72" s="39">
        <f t="shared" si="65"/>
        <v>0.12</v>
      </c>
    </row>
    <row r="73" spans="2:16" hidden="1" outlineLevel="1" x14ac:dyDescent="0.3">
      <c r="B73" s="1" t="s">
        <v>59</v>
      </c>
      <c r="C73" s="40">
        <v>0.219</v>
      </c>
      <c r="D73" s="40">
        <v>0.19600000000000001</v>
      </c>
      <c r="E73" s="40">
        <v>0.188</v>
      </c>
      <c r="F73" s="40">
        <v>0.192</v>
      </c>
      <c r="G73" s="40">
        <v>0.17599999999999999</v>
      </c>
      <c r="H73" s="16"/>
      <c r="I73" s="16"/>
      <c r="J73" s="16"/>
      <c r="K73" s="16"/>
      <c r="L73" s="16"/>
      <c r="M73" s="16"/>
      <c r="N73" s="16"/>
      <c r="O73" s="16"/>
      <c r="P73" s="16"/>
    </row>
    <row r="74" spans="2:16" hidden="1" outlineLevel="1" x14ac:dyDescent="0.3">
      <c r="B74" s="1" t="s">
        <v>60</v>
      </c>
      <c r="C74" s="40">
        <v>0.14199999999999999</v>
      </c>
      <c r="D74" s="40">
        <v>0.153</v>
      </c>
      <c r="E74" s="40">
        <v>0.16400000000000001</v>
      </c>
      <c r="F74" s="40">
        <v>0.16500000000000001</v>
      </c>
      <c r="G74" s="40">
        <v>0.152</v>
      </c>
      <c r="H74" s="16"/>
      <c r="I74" s="16"/>
      <c r="J74" s="16"/>
      <c r="K74" s="16"/>
      <c r="L74" s="16"/>
      <c r="M74" s="16"/>
      <c r="N74" s="16"/>
      <c r="O74" s="16"/>
      <c r="P74" s="16"/>
    </row>
    <row r="75" spans="2:16" hidden="1" outlineLevel="1" x14ac:dyDescent="0.3">
      <c r="B75" s="1" t="s">
        <v>61</v>
      </c>
      <c r="C75" s="40">
        <v>0.16400000000000001</v>
      </c>
      <c r="D75" s="40">
        <v>0.16700000000000001</v>
      </c>
      <c r="E75" s="40">
        <v>0.15</v>
      </c>
      <c r="F75" s="40">
        <v>0.126</v>
      </c>
      <c r="G75" s="40">
        <v>0.14099999999999999</v>
      </c>
      <c r="H75" s="16"/>
      <c r="I75" s="16"/>
      <c r="J75" s="16"/>
      <c r="K75" s="16"/>
      <c r="L75" s="16"/>
      <c r="M75" s="16"/>
      <c r="N75" s="16"/>
      <c r="O75" s="16"/>
      <c r="P75" s="16"/>
    </row>
    <row r="76" spans="2:16" hidden="1" outlineLevel="1" x14ac:dyDescent="0.3">
      <c r="B76" s="1" t="s">
        <v>62</v>
      </c>
      <c r="C76" s="40">
        <v>0.106</v>
      </c>
      <c r="D76" s="40">
        <v>0.109</v>
      </c>
      <c r="E76" s="40">
        <v>0.105</v>
      </c>
      <c r="F76" s="40">
        <v>8.7999999999999995E-2</v>
      </c>
      <c r="G76" s="40">
        <v>9.6000000000000002E-2</v>
      </c>
      <c r="H76" s="16"/>
      <c r="I76" s="16"/>
      <c r="J76" s="16"/>
      <c r="K76" s="16"/>
      <c r="L76" s="16"/>
      <c r="M76" s="16"/>
      <c r="N76" s="16"/>
      <c r="O76" s="16"/>
      <c r="P76" s="16"/>
    </row>
    <row r="77" spans="2:16" hidden="1" outlineLevel="1" x14ac:dyDescent="0.3">
      <c r="B77" s="1" t="s">
        <v>63</v>
      </c>
      <c r="C77" s="40">
        <v>0.05</v>
      </c>
      <c r="D77" s="40">
        <v>6.9000000000000006E-2</v>
      </c>
      <c r="E77" s="40">
        <v>7.5999999999999998E-2</v>
      </c>
      <c r="F77" s="40">
        <v>8.6999999999999994E-2</v>
      </c>
      <c r="G77" s="40">
        <v>8.5999999999999993E-2</v>
      </c>
      <c r="H77" s="16"/>
      <c r="I77" s="16"/>
      <c r="J77" s="16"/>
      <c r="K77" s="16"/>
      <c r="L77" s="16"/>
      <c r="M77" s="16"/>
      <c r="N77" s="16"/>
      <c r="O77" s="16"/>
      <c r="P77" s="16"/>
    </row>
    <row r="78" spans="2:16" hidden="1" outlineLevel="1" x14ac:dyDescent="0.3">
      <c r="B78" s="1" t="s">
        <v>64</v>
      </c>
      <c r="C78" s="40">
        <v>7.0000000000000007E-2</v>
      </c>
      <c r="D78" s="40">
        <v>7.2999999999999995E-2</v>
      </c>
      <c r="E78" s="40">
        <v>7.6999999999999999E-2</v>
      </c>
      <c r="F78" s="40">
        <v>0.08</v>
      </c>
      <c r="G78" s="40">
        <v>7.6999999999999999E-2</v>
      </c>
      <c r="H78" s="16"/>
      <c r="I78" s="16"/>
      <c r="J78" s="16"/>
      <c r="K78" s="16"/>
      <c r="L78" s="16"/>
      <c r="M78" s="16"/>
      <c r="N78" s="16"/>
      <c r="O78" s="16"/>
      <c r="P78" s="16"/>
    </row>
    <row r="79" spans="2:16" hidden="1" outlineLevel="1" x14ac:dyDescent="0.3">
      <c r="B79" s="1" t="s">
        <v>65</v>
      </c>
      <c r="C79" s="40">
        <v>0.14099999999999999</v>
      </c>
      <c r="D79" s="40">
        <v>0.14499999999999999</v>
      </c>
      <c r="E79" s="40">
        <v>0.14799999999999999</v>
      </c>
      <c r="F79" s="40">
        <v>0.157</v>
      </c>
      <c r="G79" s="40">
        <v>0.16</v>
      </c>
      <c r="H79" s="16"/>
      <c r="I79" s="16"/>
      <c r="J79" s="16"/>
      <c r="K79" s="16"/>
      <c r="L79" s="16"/>
      <c r="M79" s="16"/>
      <c r="N79" s="16"/>
      <c r="O79" s="16"/>
      <c r="P79" s="16"/>
    </row>
    <row r="80" spans="2:16" ht="3" hidden="1" customHeight="1" outlineLevel="1" x14ac:dyDescent="0.3">
      <c r="C80" s="38"/>
      <c r="D80" s="38"/>
      <c r="E80" s="38"/>
      <c r="F80" s="38"/>
      <c r="G80" s="38"/>
      <c r="H80" s="6"/>
      <c r="I80" s="6"/>
      <c r="J80" s="6"/>
      <c r="K80" s="6"/>
      <c r="L80" s="6"/>
      <c r="M80" s="6"/>
      <c r="N80" s="6"/>
      <c r="O80" s="6"/>
      <c r="P80" s="6"/>
    </row>
    <row r="81" spans="2:18" hidden="1" outlineLevel="1" x14ac:dyDescent="0.3">
      <c r="B81" s="1" t="s">
        <v>17</v>
      </c>
      <c r="C81" s="39">
        <f>SUM(C72:C80)</f>
        <v>0.99965355264132771</v>
      </c>
      <c r="D81" s="39">
        <f t="shared" ref="D81:G81" si="66">SUM(D72:D80)</f>
        <v>0.99980533811185524</v>
      </c>
      <c r="E81" s="39">
        <f t="shared" si="66"/>
        <v>1.0001835174171623</v>
      </c>
      <c r="F81" s="39">
        <f t="shared" si="66"/>
        <v>1.0001944060242813</v>
      </c>
      <c r="G81" s="39">
        <f t="shared" si="66"/>
        <v>0.99972730961720535</v>
      </c>
      <c r="H81" s="15"/>
      <c r="I81" s="15"/>
      <c r="J81" s="15"/>
      <c r="K81" s="15"/>
      <c r="L81" s="15"/>
      <c r="M81" s="15"/>
      <c r="N81" s="15"/>
      <c r="O81" s="15"/>
      <c r="P81" s="15"/>
    </row>
    <row r="82" spans="2:18" hidden="1" outlineLevel="1" x14ac:dyDescent="0.3"/>
    <row r="83" spans="2:18" s="3" customFormat="1" ht="20.25" hidden="1" customHeight="1" outlineLevel="1" x14ac:dyDescent="0.45">
      <c r="B83" s="11" t="s">
        <v>67</v>
      </c>
      <c r="C83" s="4"/>
      <c r="D83" s="4"/>
      <c r="E83" s="4"/>
      <c r="F83" s="4"/>
      <c r="G83" s="4"/>
      <c r="H83" s="13"/>
      <c r="I83" s="13"/>
      <c r="J83" s="13"/>
      <c r="K83" s="13"/>
      <c r="L83" s="13"/>
      <c r="M83" s="13"/>
      <c r="N83" s="13"/>
      <c r="O83" s="13"/>
      <c r="P83" s="13"/>
    </row>
    <row r="84" spans="2:18" hidden="1" outlineLevel="1" x14ac:dyDescent="0.3">
      <c r="B84" s="1" t="s">
        <v>68</v>
      </c>
      <c r="C84" s="9">
        <v>12951</v>
      </c>
      <c r="D84" s="9">
        <v>12405</v>
      </c>
      <c r="E84" s="9">
        <v>13706</v>
      </c>
      <c r="F84" s="9">
        <v>16116</v>
      </c>
      <c r="G84" s="9">
        <v>18558</v>
      </c>
      <c r="H84" s="9"/>
      <c r="I84" s="9"/>
      <c r="J84" s="9">
        <v>20110</v>
      </c>
      <c r="K84" s="9"/>
      <c r="L84" s="9"/>
      <c r="M84" s="9"/>
      <c r="N84" s="9"/>
      <c r="O84" s="9"/>
      <c r="P84" s="9"/>
    </row>
    <row r="85" spans="2:18" hidden="1" outlineLevel="1" x14ac:dyDescent="0.3">
      <c r="B85" s="1" t="s">
        <v>69</v>
      </c>
      <c r="C85" s="10">
        <v>39240</v>
      </c>
      <c r="D85" s="10">
        <v>34921</v>
      </c>
      <c r="E85" s="10">
        <v>37917</v>
      </c>
      <c r="F85" s="10">
        <v>39571</v>
      </c>
      <c r="G85" s="10">
        <v>46977</v>
      </c>
      <c r="H85" s="10"/>
      <c r="I85" s="10"/>
      <c r="J85" s="9">
        <v>52459</v>
      </c>
      <c r="K85" s="9"/>
      <c r="L85" s="9"/>
      <c r="M85" s="9"/>
      <c r="N85" s="9"/>
      <c r="O85" s="9"/>
      <c r="P85" s="9"/>
    </row>
    <row r="86" spans="2:18" ht="3" hidden="1" customHeight="1" outlineLevel="1" x14ac:dyDescent="0.3">
      <c r="C86" s="7"/>
      <c r="D86" s="7"/>
      <c r="E86" s="7"/>
      <c r="F86" s="7"/>
      <c r="G86" s="7"/>
      <c r="H86" s="7"/>
      <c r="I86" s="7"/>
      <c r="J86" s="7"/>
      <c r="K86" s="7"/>
      <c r="L86" s="7"/>
      <c r="M86" s="7"/>
      <c r="N86" s="7"/>
      <c r="O86" s="7"/>
      <c r="P86" s="7"/>
    </row>
    <row r="87" spans="2:18" hidden="1" outlineLevel="1" x14ac:dyDescent="0.3">
      <c r="B87" s="1" t="s">
        <v>17</v>
      </c>
      <c r="C87" s="5">
        <f>SUM(C84:C86)</f>
        <v>52191</v>
      </c>
      <c r="D87" s="5">
        <f>SUM(D84:D86)</f>
        <v>47326</v>
      </c>
      <c r="E87" s="5">
        <f>SUM(E84:E86)</f>
        <v>51623</v>
      </c>
      <c r="F87" s="5">
        <f>SUM(F84:F86)</f>
        <v>55687</v>
      </c>
      <c r="G87" s="5">
        <f>SUM(G84:G86)</f>
        <v>65535</v>
      </c>
      <c r="H87" s="5"/>
      <c r="I87" s="5"/>
      <c r="J87" s="5">
        <f>SUM(J84:J86)</f>
        <v>72569</v>
      </c>
      <c r="K87" s="5"/>
      <c r="L87" s="5"/>
      <c r="M87" s="5"/>
      <c r="N87" s="5"/>
      <c r="O87" s="5"/>
      <c r="P87" s="5"/>
    </row>
    <row r="88" spans="2:18" collapsed="1" x14ac:dyDescent="0.3"/>
    <row r="90" spans="2:18" x14ac:dyDescent="0.3">
      <c r="B90" s="2" t="s">
        <v>70</v>
      </c>
      <c r="C90" s="2"/>
      <c r="D90" s="2"/>
      <c r="E90" s="2"/>
      <c r="F90" s="2"/>
      <c r="G90" s="2"/>
      <c r="H90" s="2"/>
      <c r="I90" s="2"/>
      <c r="J90" s="2"/>
      <c r="K90" s="2"/>
      <c r="L90" s="2"/>
      <c r="M90" s="2"/>
      <c r="N90" s="2"/>
      <c r="O90" s="2"/>
      <c r="P90" s="2"/>
      <c r="Q90" s="2"/>
      <c r="R90" s="2"/>
    </row>
    <row r="91" spans="2:18" s="3" customFormat="1" ht="20.25" customHeight="1" x14ac:dyDescent="0.45">
      <c r="C91" s="4">
        <v>39813</v>
      </c>
      <c r="D91" s="4">
        <v>40178</v>
      </c>
      <c r="E91" s="4">
        <v>40543</v>
      </c>
      <c r="F91" s="4">
        <v>40908</v>
      </c>
      <c r="G91" s="4">
        <v>41274</v>
      </c>
      <c r="H91" s="13" t="s">
        <v>146</v>
      </c>
      <c r="I91" s="13" t="s">
        <v>147</v>
      </c>
      <c r="J91" s="13" t="s">
        <v>145</v>
      </c>
      <c r="K91" s="44" t="s">
        <v>135</v>
      </c>
      <c r="L91" s="44" t="s">
        <v>132</v>
      </c>
      <c r="M91" s="44" t="s">
        <v>133</v>
      </c>
      <c r="N91" s="44" t="s">
        <v>134</v>
      </c>
      <c r="O91" s="44" t="s">
        <v>184</v>
      </c>
      <c r="P91" s="44" t="s">
        <v>224</v>
      </c>
      <c r="R91" s="3" t="s">
        <v>152</v>
      </c>
    </row>
    <row r="92" spans="2:18" s="3" customFormat="1" ht="20.25" customHeight="1" x14ac:dyDescent="0.45">
      <c r="B92" s="11" t="s">
        <v>71</v>
      </c>
      <c r="C92" s="4"/>
      <c r="D92" s="4"/>
      <c r="E92" s="4"/>
      <c r="F92" s="4"/>
      <c r="G92" s="4"/>
      <c r="H92" s="13"/>
      <c r="I92" s="13"/>
      <c r="J92" s="13"/>
      <c r="K92" s="13"/>
      <c r="L92" s="13"/>
      <c r="M92" s="13"/>
      <c r="N92" s="13"/>
      <c r="O92" s="13"/>
      <c r="P92" s="44"/>
    </row>
    <row r="93" spans="2:18" x14ac:dyDescent="0.3">
      <c r="B93" s="1" t="s">
        <v>72</v>
      </c>
      <c r="C93" s="18">
        <v>48477</v>
      </c>
      <c r="D93" s="18">
        <f>17710+11082</f>
        <v>28792</v>
      </c>
      <c r="E93" s="18">
        <v>41946</v>
      </c>
      <c r="F93" s="18">
        <f>32936+22118</f>
        <v>55054</v>
      </c>
      <c r="G93" s="18">
        <v>65809</v>
      </c>
      <c r="H93" s="18">
        <v>48656</v>
      </c>
      <c r="I93" s="18">
        <v>50943</v>
      </c>
      <c r="J93" s="20">
        <f t="shared" ref="J93:J96" si="67">+I93+G93-H93</f>
        <v>68096</v>
      </c>
      <c r="K93" s="20">
        <f>K94/1000*K47</f>
        <v>72848.305200000017</v>
      </c>
      <c r="L93" s="20">
        <f t="shared" ref="L93:N93" si="68">L94/1000*L47</f>
        <v>82563.751930000028</v>
      </c>
      <c r="M93" s="20">
        <f t="shared" si="68"/>
        <v>92318.114277780012</v>
      </c>
      <c r="N93" s="20">
        <f t="shared" si="68"/>
        <v>102148.66516714654</v>
      </c>
      <c r="O93" s="20">
        <f t="shared" ref="O93:P93" si="69">O94/1000*O47</f>
        <v>109800.70183207539</v>
      </c>
      <c r="P93" s="20">
        <f t="shared" si="69"/>
        <v>118046.25438939017</v>
      </c>
    </row>
    <row r="94" spans="2:18" x14ac:dyDescent="0.3">
      <c r="B94" s="31" t="s">
        <v>137</v>
      </c>
      <c r="C94" s="45">
        <f t="shared" ref="C94:J94" si="70">C93*1000/C47</f>
        <v>24153.961136023918</v>
      </c>
      <c r="D94" s="45">
        <f t="shared" si="70"/>
        <v>21845.220030349014</v>
      </c>
      <c r="E94" s="45">
        <f t="shared" si="70"/>
        <v>27668.865435356201</v>
      </c>
      <c r="F94" s="45">
        <f t="shared" si="70"/>
        <v>29678.706199460918</v>
      </c>
      <c r="G94" s="45">
        <f t="shared" si="70"/>
        <v>29994.986326344577</v>
      </c>
      <c r="H94" s="45">
        <f t="shared" si="70"/>
        <v>29293.196869355808</v>
      </c>
      <c r="I94" s="45">
        <f t="shared" si="70"/>
        <v>28160.862354892204</v>
      </c>
      <c r="J94" s="45">
        <f t="shared" si="70"/>
        <v>29076.003415883861</v>
      </c>
      <c r="K94" s="46">
        <v>30000</v>
      </c>
      <c r="L94" s="46">
        <v>30500</v>
      </c>
      <c r="M94" s="46">
        <v>31000</v>
      </c>
      <c r="N94" s="46">
        <v>31500</v>
      </c>
      <c r="O94" s="46">
        <v>31500</v>
      </c>
      <c r="P94" s="46">
        <v>31500</v>
      </c>
    </row>
    <row r="95" spans="2:18" ht="3" customHeight="1" x14ac:dyDescent="0.3">
      <c r="C95" s="18"/>
      <c r="D95" s="18"/>
      <c r="E95" s="18"/>
      <c r="F95" s="18"/>
      <c r="G95" s="18"/>
      <c r="H95" s="18"/>
      <c r="I95" s="18"/>
      <c r="J95" s="20"/>
      <c r="K95" s="20"/>
      <c r="L95" s="20"/>
      <c r="M95" s="20"/>
      <c r="N95" s="20"/>
      <c r="O95" s="20"/>
      <c r="P95" s="20"/>
    </row>
    <row r="96" spans="2:18" x14ac:dyDescent="0.3">
      <c r="B96" s="1" t="s">
        <v>73</v>
      </c>
      <c r="C96" s="20">
        <f>+C99-C93</f>
        <v>-46549</v>
      </c>
      <c r="D96" s="20">
        <f>+D99-D93</f>
        <v>-29127</v>
      </c>
      <c r="E96" s="18">
        <v>-35886</v>
      </c>
      <c r="F96" s="18">
        <f>-28149-18597</f>
        <v>-46746</v>
      </c>
      <c r="G96" s="18">
        <v>-55320</v>
      </c>
      <c r="H96" s="18">
        <v>-40938</v>
      </c>
      <c r="I96" s="18">
        <v>-43293</v>
      </c>
      <c r="J96" s="20">
        <f t="shared" si="67"/>
        <v>-57675</v>
      </c>
      <c r="K96" s="20">
        <f>-K97*K93</f>
        <v>-61556.817894000014</v>
      </c>
      <c r="L96" s="20">
        <f t="shared" ref="L96:N96" si="71">-L97*L93</f>
        <v>-69518.679125060022</v>
      </c>
      <c r="M96" s="20">
        <f t="shared" si="71"/>
        <v>-77547.215993335209</v>
      </c>
      <c r="N96" s="20">
        <f t="shared" si="71"/>
        <v>-85804.878740403088</v>
      </c>
      <c r="O96" s="20">
        <f t="shared" ref="O96:P96" si="72">-O97*O93</f>
        <v>-92232.589538943314</v>
      </c>
      <c r="P96" s="20">
        <f t="shared" si="72"/>
        <v>-99158.853687087743</v>
      </c>
    </row>
    <row r="97" spans="2:16" s="19" customFormat="1" x14ac:dyDescent="0.3">
      <c r="B97" s="31" t="s">
        <v>129</v>
      </c>
      <c r="C97" s="36">
        <f>-C96/C$93</f>
        <v>0.96022856199847351</v>
      </c>
      <c r="D97" s="36">
        <f t="shared" ref="D97" si="73">-D96/D$93</f>
        <v>1.0116351764378995</v>
      </c>
      <c r="E97" s="36">
        <f t="shared" ref="E97" si="74">-E96/E$93</f>
        <v>0.85552853669003004</v>
      </c>
      <c r="F97" s="36">
        <f t="shared" ref="F97" si="75">-F96/F$93</f>
        <v>0.84909361717586374</v>
      </c>
      <c r="G97" s="36">
        <f t="shared" ref="G97" si="76">-G96/G$93</f>
        <v>0.8406145056147335</v>
      </c>
      <c r="H97" s="36">
        <f t="shared" ref="H97" si="77">-H96/H$93</f>
        <v>0.84137619204209146</v>
      </c>
      <c r="I97" s="36">
        <f t="shared" ref="I97" si="78">-I96/I$93</f>
        <v>0.84983216536128614</v>
      </c>
      <c r="J97" s="36">
        <f t="shared" ref="J97" si="79">-J96/J$93</f>
        <v>0.84696604793233088</v>
      </c>
      <c r="K97" s="47">
        <v>0.84499999999999997</v>
      </c>
      <c r="L97" s="47">
        <v>0.84199999999999997</v>
      </c>
      <c r="M97" s="47">
        <v>0.84</v>
      </c>
      <c r="N97" s="47">
        <v>0.84</v>
      </c>
      <c r="O97" s="47">
        <v>0.84</v>
      </c>
      <c r="P97" s="47">
        <v>0.84</v>
      </c>
    </row>
    <row r="98" spans="2:16" ht="3" customHeight="1" x14ac:dyDescent="0.3">
      <c r="C98" s="7"/>
      <c r="D98" s="7"/>
      <c r="E98" s="7"/>
      <c r="F98" s="7"/>
      <c r="G98" s="7"/>
      <c r="H98" s="7"/>
      <c r="I98" s="7"/>
      <c r="J98" s="7"/>
      <c r="K98" s="7"/>
      <c r="L98" s="7"/>
      <c r="M98" s="7"/>
      <c r="N98" s="7"/>
      <c r="O98" s="7"/>
      <c r="P98" s="7"/>
    </row>
    <row r="99" spans="2:16" x14ac:dyDescent="0.3">
      <c r="B99" s="1" t="s">
        <v>74</v>
      </c>
      <c r="C99" s="18">
        <v>1928</v>
      </c>
      <c r="D99" s="18">
        <f>1599-1934</f>
        <v>-335</v>
      </c>
      <c r="E99" s="17">
        <f t="shared" ref="E99:J99" si="80">+E93+E96</f>
        <v>6060</v>
      </c>
      <c r="F99" s="17">
        <f t="shared" si="80"/>
        <v>8308</v>
      </c>
      <c r="G99" s="17">
        <f t="shared" si="80"/>
        <v>10489</v>
      </c>
      <c r="H99" s="17">
        <f t="shared" si="80"/>
        <v>7718</v>
      </c>
      <c r="I99" s="17">
        <f t="shared" si="80"/>
        <v>7650</v>
      </c>
      <c r="J99" s="17">
        <f t="shared" si="80"/>
        <v>10421</v>
      </c>
      <c r="K99" s="17">
        <f t="shared" ref="K99:N99" si="81">+K93+K96</f>
        <v>11291.487306000003</v>
      </c>
      <c r="L99" s="17">
        <f t="shared" si="81"/>
        <v>13045.072804940006</v>
      </c>
      <c r="M99" s="17">
        <f t="shared" si="81"/>
        <v>14770.898284444804</v>
      </c>
      <c r="N99" s="17">
        <f t="shared" si="81"/>
        <v>16343.786426743449</v>
      </c>
      <c r="O99" s="17">
        <f t="shared" ref="O99:P99" si="82">+O93+O96</f>
        <v>17568.112293132071</v>
      </c>
      <c r="P99" s="17">
        <f t="shared" si="82"/>
        <v>18887.400702302431</v>
      </c>
    </row>
    <row r="100" spans="2:16" s="19" customFormat="1" x14ac:dyDescent="0.3">
      <c r="B100" s="31" t="s">
        <v>75</v>
      </c>
      <c r="C100" s="36">
        <f>+C99/C$93</f>
        <v>3.97714380015265E-2</v>
      </c>
      <c r="D100" s="36">
        <f t="shared" ref="D100:J100" si="83">+D99/D$93</f>
        <v>-1.1635176437899417E-2</v>
      </c>
      <c r="E100" s="36">
        <f t="shared" si="83"/>
        <v>0.14447146330996996</v>
      </c>
      <c r="F100" s="36">
        <f t="shared" si="83"/>
        <v>0.15090638282413629</v>
      </c>
      <c r="G100" s="36">
        <f t="shared" si="83"/>
        <v>0.15938549438526645</v>
      </c>
      <c r="H100" s="36">
        <f t="shared" si="83"/>
        <v>0.15862380795790859</v>
      </c>
      <c r="I100" s="36">
        <f t="shared" si="83"/>
        <v>0.15016783463871386</v>
      </c>
      <c r="J100" s="36">
        <f t="shared" si="83"/>
        <v>0.15303395206766918</v>
      </c>
      <c r="K100" s="36">
        <f t="shared" ref="K100" si="84">+K99/K$93</f>
        <v>0.155</v>
      </c>
      <c r="L100" s="36">
        <f t="shared" ref="L100" si="85">+L99/L$93</f>
        <v>0.15800000000000003</v>
      </c>
      <c r="M100" s="36">
        <f t="shared" ref="M100" si="86">+M99/M$93</f>
        <v>0.16000000000000003</v>
      </c>
      <c r="N100" s="36">
        <f t="shared" ref="N100:O100" si="87">+N99/N$93</f>
        <v>0.16000000000000003</v>
      </c>
      <c r="O100" s="36">
        <f t="shared" si="87"/>
        <v>0.16000000000000009</v>
      </c>
      <c r="P100" s="36">
        <f t="shared" ref="P100" si="88">+P99/P$93</f>
        <v>0.16000000000000003</v>
      </c>
    </row>
    <row r="102" spans="2:16" x14ac:dyDescent="0.3">
      <c r="B102" s="1" t="s">
        <v>76</v>
      </c>
      <c r="C102" s="18">
        <v>-3991</v>
      </c>
      <c r="D102" s="18">
        <f>-4336-1599</f>
        <v>-5935</v>
      </c>
      <c r="E102" s="18">
        <v>-3797</v>
      </c>
      <c r="F102" s="18">
        <f>-2761-1993</f>
        <v>-4754</v>
      </c>
      <c r="G102" s="18">
        <v>-5156</v>
      </c>
      <c r="H102" s="18">
        <v>-3757</v>
      </c>
      <c r="I102" s="18">
        <v>-3719</v>
      </c>
      <c r="J102" s="20">
        <f t="shared" ref="J102:J113" si="89">+I102+G102-H102</f>
        <v>-5118</v>
      </c>
      <c r="K102" s="20">
        <f>-K103*K93</f>
        <v>-5463.6228900000015</v>
      </c>
      <c r="L102" s="20">
        <f t="shared" ref="L102:N102" si="90">-L103*L93</f>
        <v>-6192.2813947500017</v>
      </c>
      <c r="M102" s="20">
        <f t="shared" si="90"/>
        <v>-6923.8585708335004</v>
      </c>
      <c r="N102" s="20">
        <f t="shared" si="90"/>
        <v>-7661.1498875359903</v>
      </c>
      <c r="O102" s="20">
        <f t="shared" ref="O102:P102" si="91">-O103*O93</f>
        <v>-8235.0526374056535</v>
      </c>
      <c r="P102" s="20">
        <f t="shared" si="91"/>
        <v>-8853.469079204262</v>
      </c>
    </row>
    <row r="103" spans="2:16" s="19" customFormat="1" x14ac:dyDescent="0.3">
      <c r="B103" s="31" t="s">
        <v>129</v>
      </c>
      <c r="C103" s="36">
        <f>-C102/C$93</f>
        <v>8.2327701796728339E-2</v>
      </c>
      <c r="D103" s="36">
        <f t="shared" ref="D103:J103" si="92">-D102/D$93</f>
        <v>0.206133648235621</v>
      </c>
      <c r="E103" s="36">
        <f t="shared" si="92"/>
        <v>9.0521146235636299E-2</v>
      </c>
      <c r="F103" s="36">
        <f t="shared" si="92"/>
        <v>8.6351582083045733E-2</v>
      </c>
      <c r="G103" s="36">
        <f t="shared" si="92"/>
        <v>7.8347946329529392E-2</v>
      </c>
      <c r="H103" s="36">
        <f t="shared" si="92"/>
        <v>7.7215554094048011E-2</v>
      </c>
      <c r="I103" s="36">
        <f t="shared" si="92"/>
        <v>7.3003160394951222E-2</v>
      </c>
      <c r="J103" s="36">
        <f t="shared" si="92"/>
        <v>7.5158599624060157E-2</v>
      </c>
      <c r="K103" s="47">
        <v>7.4999999999999997E-2</v>
      </c>
      <c r="L103" s="47">
        <v>7.4999999999999997E-2</v>
      </c>
      <c r="M103" s="47">
        <v>7.4999999999999997E-2</v>
      </c>
      <c r="N103" s="47">
        <v>7.4999999999999997E-2</v>
      </c>
      <c r="O103" s="47">
        <v>7.4999999999999997E-2</v>
      </c>
      <c r="P103" s="47">
        <v>7.4999999999999997E-2</v>
      </c>
    </row>
    <row r="104" spans="2:16" ht="3" customHeight="1" x14ac:dyDescent="0.3"/>
    <row r="105" spans="2:16" x14ac:dyDescent="0.3">
      <c r="B105" s="1" t="s">
        <v>77</v>
      </c>
      <c r="C105" s="18">
        <v>-1525</v>
      </c>
      <c r="D105" s="18">
        <f>-626-452</f>
        <v>-1078</v>
      </c>
      <c r="E105" s="18">
        <v>-1500</v>
      </c>
      <c r="F105" s="18">
        <f>-1058-606</f>
        <v>-1664</v>
      </c>
      <c r="G105" s="18">
        <v>-2302</v>
      </c>
      <c r="H105" s="18">
        <v>-1658</v>
      </c>
      <c r="I105" s="18">
        <v>-1684</v>
      </c>
      <c r="J105" s="20">
        <f t="shared" si="89"/>
        <v>-2328</v>
      </c>
      <c r="K105" s="20">
        <f>-K106*K93</f>
        <v>-2476.8423768000007</v>
      </c>
      <c r="L105" s="20">
        <f t="shared" ref="L105:N105" si="93">-L106*L93</f>
        <v>-2807.1675656200009</v>
      </c>
      <c r="M105" s="20">
        <f t="shared" si="93"/>
        <v>-3138.8158854445205</v>
      </c>
      <c r="N105" s="20">
        <f t="shared" si="93"/>
        <v>-3473.0546156829823</v>
      </c>
      <c r="O105" s="20">
        <f t="shared" ref="O105:P105" si="94">-O106*O93</f>
        <v>-3733.2238622905634</v>
      </c>
      <c r="P105" s="20">
        <f t="shared" si="94"/>
        <v>-4013.5726492392664</v>
      </c>
    </row>
    <row r="106" spans="2:16" s="19" customFormat="1" x14ac:dyDescent="0.3">
      <c r="B106" s="31" t="s">
        <v>129</v>
      </c>
      <c r="C106" s="36">
        <f>-C105/C$93</f>
        <v>3.1458217298925263E-2</v>
      </c>
      <c r="D106" s="36">
        <f t="shared" ref="D106" si="95">-D105/D$93</f>
        <v>3.7440955821061404E-2</v>
      </c>
      <c r="E106" s="36">
        <f t="shared" ref="E106" si="96">-E105/E$93</f>
        <v>3.5760263195537122E-2</v>
      </c>
      <c r="F106" s="36">
        <f t="shared" ref="F106" si="97">-F105/F$93</f>
        <v>3.0224870127511169E-2</v>
      </c>
      <c r="G106" s="36">
        <f t="shared" ref="G106" si="98">-G105/G$93</f>
        <v>3.4980017930678176E-2</v>
      </c>
      <c r="H106" s="36">
        <f t="shared" ref="H106" si="99">-H105/H$93</f>
        <v>3.4075961854653072E-2</v>
      </c>
      <c r="I106" s="36">
        <f t="shared" ref="I106" si="100">-I105/I$93</f>
        <v>3.3056553402822764E-2</v>
      </c>
      <c r="J106" s="36">
        <f t="shared" ref="J106" si="101">-J105/J$93</f>
        <v>3.4187030075187967E-2</v>
      </c>
      <c r="K106" s="47">
        <v>3.4000000000000002E-2</v>
      </c>
      <c r="L106" s="47">
        <v>3.4000000000000002E-2</v>
      </c>
      <c r="M106" s="47">
        <v>3.4000000000000002E-2</v>
      </c>
      <c r="N106" s="47">
        <v>3.4000000000000002E-2</v>
      </c>
      <c r="O106" s="47">
        <v>3.4000000000000002E-2</v>
      </c>
      <c r="P106" s="47">
        <v>3.4000000000000002E-2</v>
      </c>
    </row>
    <row r="107" spans="2:16" ht="3" customHeight="1" x14ac:dyDescent="0.3"/>
    <row r="108" spans="2:16" x14ac:dyDescent="0.3">
      <c r="B108" s="1" t="s">
        <v>78</v>
      </c>
      <c r="C108" s="18">
        <v>-1306</v>
      </c>
      <c r="D108" s="18">
        <f>-34+230</f>
        <v>196</v>
      </c>
      <c r="E108" s="18">
        <v>-48</v>
      </c>
      <c r="F108" s="18">
        <f>5-8</f>
        <v>-3</v>
      </c>
      <c r="G108" s="18">
        <v>61</v>
      </c>
      <c r="H108" s="18">
        <v>54</v>
      </c>
      <c r="I108" s="18">
        <v>12</v>
      </c>
      <c r="J108" s="20">
        <f t="shared" si="89"/>
        <v>19</v>
      </c>
      <c r="K108" s="48">
        <v>0</v>
      </c>
      <c r="L108" s="48">
        <v>0</v>
      </c>
      <c r="M108" s="48">
        <v>0</v>
      </c>
      <c r="N108" s="48">
        <v>0</v>
      </c>
      <c r="O108" s="48">
        <v>0</v>
      </c>
      <c r="P108" s="48">
        <v>0</v>
      </c>
    </row>
    <row r="109" spans="2:16" x14ac:dyDescent="0.3">
      <c r="B109" s="1" t="s">
        <v>79</v>
      </c>
      <c r="C109" s="18">
        <v>-1080</v>
      </c>
      <c r="D109" s="18">
        <f>-470-615</f>
        <v>-1085</v>
      </c>
      <c r="E109" s="18">
        <v>-1276</v>
      </c>
      <c r="F109" s="18">
        <f>-628+20-582+19</f>
        <v>-1171</v>
      </c>
      <c r="G109" s="18">
        <f>-1040+45</f>
        <v>-995</v>
      </c>
      <c r="H109" s="18">
        <f>-787+34</f>
        <v>-753</v>
      </c>
      <c r="I109" s="18">
        <f>-742+30</f>
        <v>-712</v>
      </c>
      <c r="J109" s="20">
        <f t="shared" si="89"/>
        <v>-954</v>
      </c>
      <c r="K109" s="20">
        <f t="shared" ref="K109:P109" si="102">-K110*K219</f>
        <v>-901.95</v>
      </c>
      <c r="L109" s="20">
        <f t="shared" si="102"/>
        <v>-866.95</v>
      </c>
      <c r="M109" s="20">
        <f t="shared" si="102"/>
        <v>-831.95</v>
      </c>
      <c r="N109" s="20">
        <f t="shared" si="102"/>
        <v>-796.95</v>
      </c>
      <c r="O109" s="20">
        <f t="shared" si="102"/>
        <v>-761.95</v>
      </c>
      <c r="P109" s="20">
        <f t="shared" si="102"/>
        <v>-726.95</v>
      </c>
    </row>
    <row r="110" spans="2:16" s="19" customFormat="1" x14ac:dyDescent="0.3">
      <c r="B110" s="31" t="s">
        <v>140</v>
      </c>
      <c r="C110" s="50" t="s">
        <v>25</v>
      </c>
      <c r="D110" s="50" t="s">
        <v>25</v>
      </c>
      <c r="E110" s="50" t="s">
        <v>25</v>
      </c>
      <c r="F110" s="36">
        <f>-F109/F219</f>
        <v>8.7597247157390784E-2</v>
      </c>
      <c r="G110" s="36">
        <f>-G109/G219</f>
        <v>7.3253331370094973E-2</v>
      </c>
      <c r="H110" s="50" t="s">
        <v>25</v>
      </c>
      <c r="I110" s="50" t="s">
        <v>25</v>
      </c>
      <c r="J110" s="36">
        <f>-J109/J219</f>
        <v>7.1273813970862909E-2</v>
      </c>
      <c r="K110" s="47">
        <v>7.0000000000000007E-2</v>
      </c>
      <c r="L110" s="47">
        <v>7.0000000000000007E-2</v>
      </c>
      <c r="M110" s="47">
        <v>7.0000000000000007E-2</v>
      </c>
      <c r="N110" s="47">
        <v>7.0000000000000007E-2</v>
      </c>
      <c r="O110" s="47">
        <v>7.0000000000000007E-2</v>
      </c>
      <c r="P110" s="47">
        <v>7.0000000000000007E-2</v>
      </c>
    </row>
    <row r="111" spans="2:16" ht="3" customHeight="1" x14ac:dyDescent="0.3"/>
    <row r="112" spans="2:16" x14ac:dyDescent="0.3">
      <c r="B112" s="1" t="s">
        <v>80</v>
      </c>
      <c r="C112" s="18">
        <f>-2587-7507</f>
        <v>-10094</v>
      </c>
      <c r="D112" s="18">
        <f>-844-843</f>
        <v>-1687</v>
      </c>
      <c r="E112" s="18">
        <v>0</v>
      </c>
      <c r="F112" s="18">
        <v>-551</v>
      </c>
      <c r="G112" s="18">
        <v>0</v>
      </c>
      <c r="H112" s="18">
        <v>0</v>
      </c>
      <c r="I112" s="18">
        <v>-9</v>
      </c>
      <c r="J112" s="20">
        <f t="shared" si="89"/>
        <v>-9</v>
      </c>
      <c r="K112" s="48">
        <v>0</v>
      </c>
      <c r="L112" s="48">
        <v>0</v>
      </c>
      <c r="M112" s="48">
        <v>0</v>
      </c>
      <c r="N112" s="48">
        <v>0</v>
      </c>
      <c r="O112" s="48">
        <v>0</v>
      </c>
      <c r="P112" s="48">
        <v>0</v>
      </c>
    </row>
    <row r="113" spans="2:18" ht="3" customHeight="1" x14ac:dyDescent="0.3">
      <c r="C113" s="7"/>
      <c r="D113" s="7"/>
      <c r="E113" s="7"/>
      <c r="F113" s="7"/>
      <c r="G113" s="7"/>
      <c r="H113" s="7"/>
      <c r="I113" s="7"/>
      <c r="J113" s="7">
        <f t="shared" si="89"/>
        <v>0</v>
      </c>
      <c r="K113" s="7"/>
      <c r="L113" s="7"/>
      <c r="M113" s="7"/>
      <c r="N113" s="7"/>
      <c r="O113" s="7"/>
      <c r="P113" s="7"/>
    </row>
    <row r="114" spans="2:18" x14ac:dyDescent="0.3">
      <c r="B114" s="1" t="s">
        <v>81</v>
      </c>
      <c r="C114" s="17">
        <f>+C99+C102+C105+C108+C109+C112</f>
        <v>-16068</v>
      </c>
      <c r="D114" s="17">
        <f t="shared" ref="D114:N114" si="103">+D99+D102+D105+D108+D109+D112</f>
        <v>-9924</v>
      </c>
      <c r="E114" s="17">
        <f t="shared" si="103"/>
        <v>-561</v>
      </c>
      <c r="F114" s="17">
        <f t="shared" si="103"/>
        <v>165</v>
      </c>
      <c r="G114" s="17">
        <f t="shared" si="103"/>
        <v>2097</v>
      </c>
      <c r="H114" s="17">
        <f t="shared" si="103"/>
        <v>1604</v>
      </c>
      <c r="I114" s="17">
        <f t="shared" si="103"/>
        <v>1538</v>
      </c>
      <c r="J114" s="17">
        <f t="shared" si="103"/>
        <v>2031</v>
      </c>
      <c r="K114" s="17">
        <f t="shared" si="103"/>
        <v>2449.0720392000003</v>
      </c>
      <c r="L114" s="17">
        <f t="shared" si="103"/>
        <v>3178.673844570003</v>
      </c>
      <c r="M114" s="17">
        <f t="shared" si="103"/>
        <v>3876.2738281667835</v>
      </c>
      <c r="N114" s="17">
        <f t="shared" si="103"/>
        <v>4412.6319235244764</v>
      </c>
      <c r="O114" s="17">
        <f t="shared" ref="O114:P114" si="104">+O99+O102+O105+O108+O109+O112</f>
        <v>4837.8857934358548</v>
      </c>
      <c r="P114" s="17">
        <f t="shared" si="104"/>
        <v>5293.4089738589037</v>
      </c>
    </row>
    <row r="116" spans="2:18" x14ac:dyDescent="0.3">
      <c r="B116" s="1" t="s">
        <v>82</v>
      </c>
      <c r="C116" s="20">
        <f>+C119-C114</f>
        <v>-776</v>
      </c>
      <c r="D116" s="20">
        <f>+D119-D114</f>
        <v>1714</v>
      </c>
      <c r="E116" s="20">
        <f>+E119-E114</f>
        <v>-91</v>
      </c>
      <c r="F116" s="18">
        <f>-101-101</f>
        <v>-202</v>
      </c>
      <c r="G116" s="18">
        <v>-292</v>
      </c>
      <c r="H116" s="18">
        <v>-216</v>
      </c>
      <c r="I116" s="18">
        <v>-298</v>
      </c>
      <c r="J116" s="20">
        <f t="shared" ref="J116" si="105">+I116+G116-H116</f>
        <v>-374</v>
      </c>
      <c r="K116" s="20">
        <f>-K117*K114</f>
        <v>-453.07832725200007</v>
      </c>
      <c r="L116" s="20">
        <f t="shared" ref="L116:N116" si="106">-L117*L114</f>
        <v>-635.7347689140006</v>
      </c>
      <c r="M116" s="20">
        <f t="shared" si="106"/>
        <v>-969.06845704169586</v>
      </c>
      <c r="N116" s="20">
        <f t="shared" si="106"/>
        <v>-1323.789577057343</v>
      </c>
      <c r="O116" s="20">
        <f t="shared" ref="O116:P116" si="107">-O117*O114</f>
        <v>-1572.3128828666529</v>
      </c>
      <c r="P116" s="20">
        <f t="shared" si="107"/>
        <v>-1852.6931408506161</v>
      </c>
    </row>
    <row r="117" spans="2:18" s="19" customFormat="1" x14ac:dyDescent="0.3">
      <c r="B117" s="31" t="s">
        <v>138</v>
      </c>
      <c r="C117" s="36">
        <f t="shared" ref="C117:J117" si="108">-C116/C114</f>
        <v>-4.8294747323873538E-2</v>
      </c>
      <c r="D117" s="36">
        <f t="shared" si="108"/>
        <v>0.17271261588069328</v>
      </c>
      <c r="E117" s="36">
        <f t="shared" si="108"/>
        <v>-0.16221033868092691</v>
      </c>
      <c r="F117" s="36">
        <f t="shared" si="108"/>
        <v>1.2242424242424241</v>
      </c>
      <c r="G117" s="36">
        <f t="shared" si="108"/>
        <v>0.13924654268001907</v>
      </c>
      <c r="H117" s="36">
        <f t="shared" si="108"/>
        <v>0.13466334164588528</v>
      </c>
      <c r="I117" s="36">
        <f t="shared" si="108"/>
        <v>0.19375812743823148</v>
      </c>
      <c r="J117" s="36">
        <f t="shared" si="108"/>
        <v>0.18414574101427869</v>
      </c>
      <c r="K117" s="47">
        <v>0.185</v>
      </c>
      <c r="L117" s="47">
        <v>0.2</v>
      </c>
      <c r="M117" s="47">
        <v>0.25</v>
      </c>
      <c r="N117" s="47">
        <v>0.3</v>
      </c>
      <c r="O117" s="47">
        <v>0.32500000000000001</v>
      </c>
      <c r="P117" s="47">
        <v>0.35</v>
      </c>
      <c r="R117" s="1" t="s">
        <v>260</v>
      </c>
    </row>
    <row r="118" spans="2:18" ht="3" customHeight="1" x14ac:dyDescent="0.3">
      <c r="C118" s="7"/>
      <c r="D118" s="7"/>
      <c r="E118" s="7"/>
      <c r="F118" s="7"/>
      <c r="G118" s="7"/>
      <c r="H118" s="7"/>
      <c r="I118" s="7"/>
      <c r="J118" s="7"/>
      <c r="K118" s="7"/>
      <c r="L118" s="7"/>
      <c r="M118" s="7"/>
      <c r="N118" s="7"/>
      <c r="O118" s="7"/>
      <c r="P118" s="7"/>
    </row>
    <row r="119" spans="2:18" x14ac:dyDescent="0.3">
      <c r="B119" s="1" t="s">
        <v>83</v>
      </c>
      <c r="C119" s="18">
        <v>-16844</v>
      </c>
      <c r="D119" s="18">
        <f>-3785-4425</f>
        <v>-8210</v>
      </c>
      <c r="E119" s="18">
        <v>-652</v>
      </c>
      <c r="F119" s="17">
        <f>+F114+F116</f>
        <v>-37</v>
      </c>
      <c r="G119" s="17">
        <f t="shared" ref="G119:N119" si="109">+G114+G116</f>
        <v>1805</v>
      </c>
      <c r="H119" s="17">
        <f t="shared" si="109"/>
        <v>1388</v>
      </c>
      <c r="I119" s="17">
        <f t="shared" si="109"/>
        <v>1240</v>
      </c>
      <c r="J119" s="17">
        <f t="shared" si="109"/>
        <v>1657</v>
      </c>
      <c r="K119" s="17">
        <f t="shared" si="109"/>
        <v>1995.9937119480003</v>
      </c>
      <c r="L119" s="17">
        <f t="shared" si="109"/>
        <v>2542.9390756560024</v>
      </c>
      <c r="M119" s="17">
        <f t="shared" si="109"/>
        <v>2907.2053711250874</v>
      </c>
      <c r="N119" s="17">
        <f t="shared" si="109"/>
        <v>3088.8423464671332</v>
      </c>
      <c r="O119" s="17">
        <f t="shared" ref="O119:P119" si="110">+O114+O116</f>
        <v>3265.5729105692017</v>
      </c>
      <c r="P119" s="17">
        <f t="shared" si="110"/>
        <v>3440.7158330082875</v>
      </c>
    </row>
    <row r="120" spans="2:18" hidden="1" outlineLevel="1" x14ac:dyDescent="0.3"/>
    <row r="121" spans="2:18" hidden="1" outlineLevel="1" x14ac:dyDescent="0.3">
      <c r="B121" s="1" t="s">
        <v>84</v>
      </c>
      <c r="C121" s="18">
        <v>0</v>
      </c>
      <c r="D121" s="18">
        <v>0</v>
      </c>
      <c r="E121" s="18">
        <v>0</v>
      </c>
      <c r="F121" s="18">
        <v>-101</v>
      </c>
      <c r="G121" s="18">
        <v>-759</v>
      </c>
      <c r="H121" s="18">
        <v>-586</v>
      </c>
      <c r="I121" s="18">
        <v>-553</v>
      </c>
      <c r="J121" s="20">
        <f t="shared" ref="J121" si="111">+I121+G121-H121</f>
        <v>-726</v>
      </c>
      <c r="K121" s="20"/>
      <c r="L121" s="20"/>
      <c r="M121" s="20"/>
      <c r="N121" s="20"/>
      <c r="O121" s="20"/>
      <c r="P121" s="20"/>
    </row>
    <row r="122" spans="2:18" ht="3" hidden="1" customHeight="1" outlineLevel="1" x14ac:dyDescent="0.3">
      <c r="C122" s="7"/>
      <c r="D122" s="7"/>
      <c r="E122" s="7"/>
      <c r="F122" s="7"/>
      <c r="G122" s="7"/>
      <c r="H122" s="7"/>
      <c r="I122" s="7"/>
      <c r="J122" s="7">
        <f t="shared" ref="J122" si="112">+I122+G122-H122</f>
        <v>0</v>
      </c>
      <c r="K122" s="7"/>
      <c r="L122" s="7"/>
      <c r="M122" s="7"/>
      <c r="N122" s="7"/>
      <c r="O122" s="7"/>
      <c r="P122" s="7"/>
    </row>
    <row r="123" spans="2:18" hidden="1" outlineLevel="1" x14ac:dyDescent="0.3">
      <c r="B123" s="1" t="s">
        <v>85</v>
      </c>
      <c r="C123" s="17">
        <f t="shared" ref="C123" si="113">SUM(C119:C122)</f>
        <v>-16844</v>
      </c>
      <c r="D123" s="17">
        <f t="shared" ref="D123" si="114">SUM(D119:D122)</f>
        <v>-8210</v>
      </c>
      <c r="E123" s="17">
        <f t="shared" ref="E123" si="115">SUM(E119:E122)</f>
        <v>-652</v>
      </c>
      <c r="F123" s="17">
        <f t="shared" ref="F123" si="116">SUM(F119:F122)</f>
        <v>-138</v>
      </c>
      <c r="G123" s="17">
        <f t="shared" ref="G123" si="117">SUM(G119:G122)</f>
        <v>1046</v>
      </c>
      <c r="H123" s="17">
        <f>SUM(H119:H122)</f>
        <v>802</v>
      </c>
      <c r="I123" s="17">
        <f t="shared" ref="I123" si="118">SUM(I119:I122)</f>
        <v>687</v>
      </c>
      <c r="J123" s="17">
        <f t="shared" ref="J123" si="119">SUM(J119:J122)</f>
        <v>931</v>
      </c>
      <c r="K123" s="17">
        <f t="shared" ref="K123" si="120">SUM(K119:K122)</f>
        <v>1995.9937119480003</v>
      </c>
      <c r="L123" s="17">
        <f t="shared" ref="L123" si="121">SUM(L119:L122)</f>
        <v>2542.9390756560024</v>
      </c>
      <c r="M123" s="17">
        <f t="shared" ref="M123" si="122">SUM(M119:M122)</f>
        <v>2907.2053711250874</v>
      </c>
      <c r="N123" s="17">
        <f t="shared" ref="N123:O123" si="123">SUM(N119:N122)</f>
        <v>3088.8423464671332</v>
      </c>
      <c r="O123" s="17">
        <f t="shared" si="123"/>
        <v>3265.5729105692017</v>
      </c>
      <c r="P123" s="17">
        <f t="shared" ref="P123" si="124">SUM(P119:P122)</f>
        <v>3440.7158330082875</v>
      </c>
    </row>
    <row r="124" spans="2:18" collapsed="1" x14ac:dyDescent="0.3">
      <c r="H124" s="22"/>
      <c r="I124" s="22"/>
      <c r="P124" s="52"/>
    </row>
    <row r="125" spans="2:18" s="3" customFormat="1" ht="20.25" customHeight="1" x14ac:dyDescent="0.45">
      <c r="B125" s="11" t="s">
        <v>228</v>
      </c>
      <c r="C125" s="4"/>
      <c r="D125" s="4"/>
      <c r="E125" s="4"/>
      <c r="F125" s="4"/>
      <c r="G125" s="4"/>
      <c r="H125" s="13"/>
      <c r="I125" s="13"/>
      <c r="J125" s="13"/>
      <c r="K125" s="13"/>
      <c r="L125" s="13"/>
      <c r="M125" s="13"/>
      <c r="N125" s="13"/>
      <c r="O125" s="13"/>
      <c r="P125" s="44"/>
    </row>
    <row r="126" spans="2:18" x14ac:dyDescent="0.3">
      <c r="B126" s="1" t="s">
        <v>74</v>
      </c>
      <c r="C126" s="17">
        <f>C99</f>
        <v>1928</v>
      </c>
      <c r="D126" s="17">
        <f t="shared" ref="D126:N126" si="125">D99</f>
        <v>-335</v>
      </c>
      <c r="E126" s="17">
        <f t="shared" si="125"/>
        <v>6060</v>
      </c>
      <c r="F126" s="17">
        <f t="shared" si="125"/>
        <v>8308</v>
      </c>
      <c r="G126" s="17">
        <f t="shared" si="125"/>
        <v>10489</v>
      </c>
      <c r="H126" s="17">
        <f t="shared" si="125"/>
        <v>7718</v>
      </c>
      <c r="I126" s="17">
        <f t="shared" si="125"/>
        <v>7650</v>
      </c>
      <c r="J126" s="17">
        <f t="shared" si="125"/>
        <v>10421</v>
      </c>
      <c r="K126" s="17">
        <f t="shared" si="125"/>
        <v>11291.487306000003</v>
      </c>
      <c r="L126" s="17">
        <f t="shared" si="125"/>
        <v>13045.072804940006</v>
      </c>
      <c r="M126" s="17">
        <f t="shared" si="125"/>
        <v>14770.898284444804</v>
      </c>
      <c r="N126" s="17">
        <f t="shared" si="125"/>
        <v>16343.786426743449</v>
      </c>
      <c r="O126" s="17">
        <f t="shared" ref="O126:P126" si="126">O99</f>
        <v>17568.112293132071</v>
      </c>
      <c r="P126" s="17">
        <f t="shared" si="126"/>
        <v>18887.400702302431</v>
      </c>
    </row>
    <row r="127" spans="2:18" x14ac:dyDescent="0.3">
      <c r="B127" s="1" t="s">
        <v>120</v>
      </c>
      <c r="C127" s="17">
        <f t="shared" ref="C127:N127" si="127">C102</f>
        <v>-3991</v>
      </c>
      <c r="D127" s="17">
        <f t="shared" si="127"/>
        <v>-5935</v>
      </c>
      <c r="E127" s="17">
        <f t="shared" si="127"/>
        <v>-3797</v>
      </c>
      <c r="F127" s="17">
        <f t="shared" si="127"/>
        <v>-4754</v>
      </c>
      <c r="G127" s="17">
        <f t="shared" si="127"/>
        <v>-5156</v>
      </c>
      <c r="H127" s="17">
        <f t="shared" si="127"/>
        <v>-3757</v>
      </c>
      <c r="I127" s="17">
        <f t="shared" si="127"/>
        <v>-3719</v>
      </c>
      <c r="J127" s="17">
        <f t="shared" si="127"/>
        <v>-5118</v>
      </c>
      <c r="K127" s="17">
        <f t="shared" si="127"/>
        <v>-5463.6228900000015</v>
      </c>
      <c r="L127" s="17">
        <f t="shared" si="127"/>
        <v>-6192.2813947500017</v>
      </c>
      <c r="M127" s="17">
        <f t="shared" si="127"/>
        <v>-6923.8585708335004</v>
      </c>
      <c r="N127" s="17">
        <f t="shared" si="127"/>
        <v>-7661.1498875359903</v>
      </c>
      <c r="O127" s="17">
        <f t="shared" ref="O127:P127" si="128">O102</f>
        <v>-8235.0526374056535</v>
      </c>
      <c r="P127" s="17">
        <f t="shared" si="128"/>
        <v>-8853.469079204262</v>
      </c>
    </row>
    <row r="128" spans="2:18" x14ac:dyDescent="0.3">
      <c r="B128" s="1" t="s">
        <v>121</v>
      </c>
      <c r="C128" s="17">
        <f>C105</f>
        <v>-1525</v>
      </c>
      <c r="D128" s="17">
        <f t="shared" ref="D128:N128" si="129">D105</f>
        <v>-1078</v>
      </c>
      <c r="E128" s="17">
        <f t="shared" si="129"/>
        <v>-1500</v>
      </c>
      <c r="F128" s="17">
        <f t="shared" si="129"/>
        <v>-1664</v>
      </c>
      <c r="G128" s="17">
        <f t="shared" si="129"/>
        <v>-2302</v>
      </c>
      <c r="H128" s="17">
        <f t="shared" si="129"/>
        <v>-1658</v>
      </c>
      <c r="I128" s="17">
        <f t="shared" si="129"/>
        <v>-1684</v>
      </c>
      <c r="J128" s="17">
        <f t="shared" si="129"/>
        <v>-2328</v>
      </c>
      <c r="K128" s="17">
        <f t="shared" si="129"/>
        <v>-2476.8423768000007</v>
      </c>
      <c r="L128" s="17">
        <f t="shared" si="129"/>
        <v>-2807.1675656200009</v>
      </c>
      <c r="M128" s="17">
        <f t="shared" si="129"/>
        <v>-3138.8158854445205</v>
      </c>
      <c r="N128" s="17">
        <f t="shared" si="129"/>
        <v>-3473.0546156829823</v>
      </c>
      <c r="O128" s="17">
        <f t="shared" ref="O128:P128" si="130">O105</f>
        <v>-3733.2238622905634</v>
      </c>
      <c r="P128" s="17">
        <f t="shared" si="130"/>
        <v>-4013.5726492392664</v>
      </c>
    </row>
    <row r="129" spans="2:18" x14ac:dyDescent="0.3">
      <c r="B129" s="1" t="s">
        <v>139</v>
      </c>
      <c r="C129" s="18">
        <f>4808-1581</f>
        <v>3227</v>
      </c>
      <c r="D129" s="18">
        <f>1587-154+1537-354</f>
        <v>2616</v>
      </c>
      <c r="E129" s="18">
        <f>3051-353</f>
        <v>2698</v>
      </c>
      <c r="F129" s="18">
        <f>1625-70+1260-27</f>
        <v>2788</v>
      </c>
      <c r="G129" s="18">
        <f>2718-163</f>
        <v>2555</v>
      </c>
      <c r="H129" s="18">
        <f>2047-122</f>
        <v>1925</v>
      </c>
      <c r="I129" s="18">
        <f>2164-146</f>
        <v>2018</v>
      </c>
      <c r="J129" s="20">
        <f t="shared" ref="J129:J134" si="131">+I129+G129-H129</f>
        <v>2648</v>
      </c>
      <c r="K129" s="20">
        <f t="shared" ref="K129:P129" si="132">-K150*K130</f>
        <v>2700</v>
      </c>
      <c r="L129" s="20">
        <f t="shared" si="132"/>
        <v>2700</v>
      </c>
      <c r="M129" s="20">
        <f t="shared" si="132"/>
        <v>2700</v>
      </c>
      <c r="N129" s="20">
        <f t="shared" si="132"/>
        <v>2700</v>
      </c>
      <c r="O129" s="20">
        <f t="shared" si="132"/>
        <v>2700</v>
      </c>
      <c r="P129" s="20">
        <f t="shared" si="132"/>
        <v>2700</v>
      </c>
    </row>
    <row r="130" spans="2:18" x14ac:dyDescent="0.3">
      <c r="B130" s="31" t="s">
        <v>141</v>
      </c>
      <c r="C130" s="36">
        <f t="shared" ref="C130:J130" si="133">C129/-C150</f>
        <v>1.1670886075949367</v>
      </c>
      <c r="D130" s="36">
        <f t="shared" si="133"/>
        <v>1.9713639788997739</v>
      </c>
      <c r="E130" s="36">
        <f t="shared" si="133"/>
        <v>1.1312368972746332</v>
      </c>
      <c r="F130" s="36">
        <f t="shared" si="133"/>
        <v>0.92655367231638419</v>
      </c>
      <c r="G130" s="36">
        <f t="shared" si="133"/>
        <v>0.7032755298651252</v>
      </c>
      <c r="H130" s="36">
        <f t="shared" si="133"/>
        <v>0.62949640287769781</v>
      </c>
      <c r="I130" s="36">
        <f t="shared" si="133"/>
        <v>0.82840722495894914</v>
      </c>
      <c r="J130" s="36">
        <f t="shared" si="133"/>
        <v>0.87944204583194951</v>
      </c>
      <c r="K130" s="47">
        <v>0.9</v>
      </c>
      <c r="L130" s="47">
        <v>0.9</v>
      </c>
      <c r="M130" s="47">
        <v>0.9</v>
      </c>
      <c r="N130" s="47">
        <v>0.9</v>
      </c>
      <c r="O130" s="47">
        <v>0.9</v>
      </c>
      <c r="P130" s="47">
        <v>0.9</v>
      </c>
    </row>
    <row r="131" spans="2:18" ht="3" customHeight="1" x14ac:dyDescent="0.3">
      <c r="H131" s="22"/>
      <c r="I131" s="22"/>
    </row>
    <row r="132" spans="2:18" x14ac:dyDescent="0.3">
      <c r="B132" s="1" t="s">
        <v>80</v>
      </c>
      <c r="C132" s="17">
        <f>+C134-C129-C128-C127-C126</f>
        <v>611</v>
      </c>
      <c r="D132" s="17">
        <f t="shared" ref="D132:J132" si="134">+D134-D129-D128-D127-D126</f>
        <v>3102</v>
      </c>
      <c r="E132" s="17">
        <f t="shared" si="134"/>
        <v>0</v>
      </c>
      <c r="F132" s="17">
        <f t="shared" si="134"/>
        <v>-203</v>
      </c>
      <c r="G132" s="17">
        <f t="shared" si="134"/>
        <v>-115</v>
      </c>
      <c r="H132" s="17">
        <f t="shared" si="134"/>
        <v>-95</v>
      </c>
      <c r="I132" s="17">
        <f t="shared" si="134"/>
        <v>-140</v>
      </c>
      <c r="J132" s="17">
        <f t="shared" si="134"/>
        <v>-160</v>
      </c>
      <c r="K132" s="48">
        <v>0</v>
      </c>
      <c r="L132" s="48">
        <v>0</v>
      </c>
      <c r="M132" s="48">
        <v>0</v>
      </c>
      <c r="N132" s="48">
        <v>0</v>
      </c>
      <c r="O132" s="48">
        <v>0</v>
      </c>
      <c r="P132" s="48">
        <v>0</v>
      </c>
    </row>
    <row r="133" spans="2:18" ht="3" customHeight="1" x14ac:dyDescent="0.3">
      <c r="C133" s="7"/>
      <c r="D133" s="7"/>
      <c r="E133" s="7"/>
      <c r="F133" s="7"/>
      <c r="G133" s="7"/>
      <c r="H133" s="7"/>
      <c r="I133" s="7"/>
      <c r="J133" s="7">
        <f t="shared" ref="J133" si="135">+I133+G133-H133</f>
        <v>0</v>
      </c>
      <c r="K133" s="7"/>
      <c r="L133" s="7"/>
      <c r="M133" s="7"/>
      <c r="N133" s="7"/>
      <c r="O133" s="7"/>
      <c r="P133" s="7"/>
    </row>
    <row r="134" spans="2:18" x14ac:dyDescent="0.3">
      <c r="B134" s="1" t="s">
        <v>119</v>
      </c>
      <c r="C134" s="18">
        <v>250</v>
      </c>
      <c r="D134" s="18">
        <f>538-2168</f>
        <v>-1630</v>
      </c>
      <c r="E134" s="18">
        <v>3461</v>
      </c>
      <c r="F134" s="18">
        <f>2390+2085</f>
        <v>4475</v>
      </c>
      <c r="G134" s="18">
        <v>5471</v>
      </c>
      <c r="H134" s="18">
        <v>4133</v>
      </c>
      <c r="I134" s="18">
        <v>4125</v>
      </c>
      <c r="J134" s="20">
        <f t="shared" si="131"/>
        <v>5463</v>
      </c>
      <c r="K134" s="20">
        <f t="shared" ref="K134:P134" si="136">+K126+K127+K128+K129+K132</f>
        <v>6051.022039200001</v>
      </c>
      <c r="L134" s="20">
        <f t="shared" si="136"/>
        <v>6745.6238445700037</v>
      </c>
      <c r="M134" s="20">
        <f t="shared" si="136"/>
        <v>7408.2238281667833</v>
      </c>
      <c r="N134" s="20">
        <f t="shared" si="136"/>
        <v>7909.5819235244762</v>
      </c>
      <c r="O134" s="20">
        <f t="shared" si="136"/>
        <v>8299.8357934358537</v>
      </c>
      <c r="P134" s="20">
        <f t="shared" si="136"/>
        <v>8720.3589738589035</v>
      </c>
    </row>
    <row r="135" spans="2:18" s="19" customFormat="1" x14ac:dyDescent="0.3">
      <c r="B135" s="31" t="s">
        <v>75</v>
      </c>
      <c r="C135" s="36">
        <f>+C134/C$93</f>
        <v>5.1570848031025022E-3</v>
      </c>
      <c r="D135" s="36">
        <f t="shared" ref="D135" si="137">+D134/D$93</f>
        <v>-5.6612948041122532E-2</v>
      </c>
      <c r="E135" s="36">
        <f t="shared" ref="E135" si="138">+E134/E$93</f>
        <v>8.2510847279835986E-2</v>
      </c>
      <c r="F135" s="36">
        <f t="shared" ref="F135" si="139">+F134/F$93</f>
        <v>8.1283830421041162E-2</v>
      </c>
      <c r="G135" s="36">
        <f t="shared" ref="G135" si="140">+G134/G$93</f>
        <v>8.3134525672780318E-2</v>
      </c>
      <c r="H135" s="36">
        <f t="shared" ref="H135" si="141">+H134/H$93</f>
        <v>8.4943275238408417E-2</v>
      </c>
      <c r="I135" s="36">
        <f t="shared" ref="I135" si="142">+I134/I$93</f>
        <v>8.0972852011071197E-2</v>
      </c>
      <c r="J135" s="36">
        <f t="shared" ref="J135" si="143">+J134/J$93</f>
        <v>8.0224976503759399E-2</v>
      </c>
      <c r="K135" s="36">
        <f t="shared" ref="K135" si="144">+K134/K$93</f>
        <v>8.3063319353653256E-2</v>
      </c>
      <c r="L135" s="36">
        <f t="shared" ref="L135" si="145">+L134/L$93</f>
        <v>8.1702002233245669E-2</v>
      </c>
      <c r="M135" s="36">
        <f t="shared" ref="M135" si="146">+M134/M$93</f>
        <v>8.0246697911049769E-2</v>
      </c>
      <c r="N135" s="36">
        <f t="shared" ref="N135:O135" si="147">+N134/N$93</f>
        <v>7.7432063459487943E-2</v>
      </c>
      <c r="O135" s="36">
        <f t="shared" si="147"/>
        <v>7.5590006757236178E-2</v>
      </c>
      <c r="P135" s="36">
        <f t="shared" ref="P135" si="148">+P134/P$93</f>
        <v>7.3872390267409258E-2</v>
      </c>
    </row>
    <row r="136" spans="2:18" x14ac:dyDescent="0.3">
      <c r="P136" s="52"/>
    </row>
    <row r="137" spans="2:18" x14ac:dyDescent="0.3">
      <c r="B137" s="1" t="s">
        <v>229</v>
      </c>
      <c r="C137" s="17">
        <f t="shared" ref="C137:P137" si="149">+C134-C129</f>
        <v>-2977</v>
      </c>
      <c r="D137" s="17">
        <f t="shared" si="149"/>
        <v>-4246</v>
      </c>
      <c r="E137" s="17">
        <f t="shared" si="149"/>
        <v>763</v>
      </c>
      <c r="F137" s="17">
        <f t="shared" si="149"/>
        <v>1687</v>
      </c>
      <c r="G137" s="17">
        <f t="shared" si="149"/>
        <v>2916</v>
      </c>
      <c r="H137" s="17">
        <f t="shared" si="149"/>
        <v>2208</v>
      </c>
      <c r="I137" s="17">
        <f t="shared" si="149"/>
        <v>2107</v>
      </c>
      <c r="J137" s="17">
        <f t="shared" si="149"/>
        <v>2815</v>
      </c>
      <c r="K137" s="17">
        <f t="shared" si="149"/>
        <v>3351.022039200001</v>
      </c>
      <c r="L137" s="17">
        <f t="shared" si="149"/>
        <v>4045.6238445700037</v>
      </c>
      <c r="M137" s="17">
        <f t="shared" si="149"/>
        <v>4708.2238281667833</v>
      </c>
      <c r="N137" s="17">
        <f t="shared" si="149"/>
        <v>5209.5819235244762</v>
      </c>
      <c r="O137" s="17">
        <f t="shared" si="149"/>
        <v>5599.8357934358537</v>
      </c>
      <c r="P137" s="17">
        <f t="shared" si="149"/>
        <v>6020.3589738589035</v>
      </c>
    </row>
    <row r="138" spans="2:18" x14ac:dyDescent="0.3">
      <c r="B138" s="31" t="s">
        <v>75</v>
      </c>
      <c r="C138" s="36">
        <f>+C137/C$93</f>
        <v>-6.1410565835344599E-2</v>
      </c>
      <c r="D138" s="36">
        <f t="shared" ref="D138:P138" si="150">+D137/D$93</f>
        <v>-0.14747151986662962</v>
      </c>
      <c r="E138" s="36">
        <f t="shared" si="150"/>
        <v>1.8190053878796547E-2</v>
      </c>
      <c r="F138" s="36">
        <f t="shared" si="150"/>
        <v>3.0642641769898647E-2</v>
      </c>
      <c r="G138" s="36">
        <f t="shared" si="150"/>
        <v>4.4310048777522829E-2</v>
      </c>
      <c r="H138" s="36">
        <f t="shared" si="150"/>
        <v>4.5379809273265376E-2</v>
      </c>
      <c r="I138" s="36">
        <f t="shared" si="150"/>
        <v>4.1359951318139881E-2</v>
      </c>
      <c r="J138" s="36">
        <f t="shared" si="150"/>
        <v>4.133869830827068E-2</v>
      </c>
      <c r="K138" s="36">
        <f t="shared" si="150"/>
        <v>4.6000000000000006E-2</v>
      </c>
      <c r="L138" s="36">
        <f t="shared" si="150"/>
        <v>4.900000000000003E-2</v>
      </c>
      <c r="M138" s="36">
        <f t="shared" si="150"/>
        <v>5.1000000000000031E-2</v>
      </c>
      <c r="N138" s="36">
        <f t="shared" si="150"/>
        <v>5.1000000000000024E-2</v>
      </c>
      <c r="O138" s="36">
        <f t="shared" si="150"/>
        <v>5.100000000000008E-2</v>
      </c>
      <c r="P138" s="36">
        <f t="shared" si="150"/>
        <v>5.1000000000000038E-2</v>
      </c>
    </row>
    <row r="139" spans="2:18" x14ac:dyDescent="0.3">
      <c r="P139" s="52"/>
    </row>
    <row r="140" spans="2:18" s="3" customFormat="1" ht="20.25" customHeight="1" x14ac:dyDescent="0.45">
      <c r="B140" s="11" t="s">
        <v>86</v>
      </c>
      <c r="C140" s="4"/>
      <c r="D140" s="4"/>
      <c r="E140" s="4"/>
      <c r="F140" s="4"/>
      <c r="G140" s="4"/>
      <c r="H140" s="13"/>
      <c r="I140" s="13"/>
      <c r="J140" s="13"/>
      <c r="K140" s="13"/>
      <c r="L140" s="13"/>
      <c r="M140" s="13"/>
      <c r="N140" s="13"/>
      <c r="O140" s="13"/>
      <c r="P140" s="44"/>
    </row>
    <row r="141" spans="2:18" x14ac:dyDescent="0.3">
      <c r="B141" s="23" t="s">
        <v>87</v>
      </c>
      <c r="C141" s="21"/>
      <c r="D141" s="21"/>
      <c r="E141" s="21"/>
      <c r="F141" s="21"/>
      <c r="G141" s="21"/>
      <c r="P141" s="52"/>
    </row>
    <row r="142" spans="2:18" x14ac:dyDescent="0.3">
      <c r="B142" s="1" t="s">
        <v>83</v>
      </c>
      <c r="C142" s="20">
        <f>C119</f>
        <v>-16844</v>
      </c>
      <c r="D142" s="20">
        <f>D119</f>
        <v>-8210</v>
      </c>
      <c r="E142" s="20">
        <f>E119</f>
        <v>-652</v>
      </c>
      <c r="F142" s="20">
        <f>F119</f>
        <v>-37</v>
      </c>
      <c r="G142" s="20">
        <f>G119</f>
        <v>1805</v>
      </c>
      <c r="H142" s="26" t="s">
        <v>118</v>
      </c>
      <c r="I142" s="26" t="s">
        <v>118</v>
      </c>
      <c r="J142" s="26" t="s">
        <v>118</v>
      </c>
      <c r="K142" s="20">
        <f t="shared" ref="K142:P142" si="151">K119</f>
        <v>1995.9937119480003</v>
      </c>
      <c r="L142" s="20">
        <f t="shared" si="151"/>
        <v>2542.9390756560024</v>
      </c>
      <c r="M142" s="20">
        <f t="shared" si="151"/>
        <v>2907.2053711250874</v>
      </c>
      <c r="N142" s="20">
        <f t="shared" si="151"/>
        <v>3088.8423464671332</v>
      </c>
      <c r="O142" s="20">
        <f t="shared" si="151"/>
        <v>3265.5729105692017</v>
      </c>
      <c r="P142" s="20">
        <f t="shared" si="151"/>
        <v>3440.7158330082875</v>
      </c>
    </row>
    <row r="143" spans="2:18" x14ac:dyDescent="0.3">
      <c r="B143" s="1" t="s">
        <v>116</v>
      </c>
      <c r="C143" s="18">
        <v>4808</v>
      </c>
      <c r="D143" s="18">
        <f>1587+1537</f>
        <v>3124</v>
      </c>
      <c r="E143" s="18">
        <v>3051</v>
      </c>
      <c r="F143" s="18">
        <f>1625+1260</f>
        <v>2885</v>
      </c>
      <c r="G143" s="18">
        <v>2718</v>
      </c>
      <c r="H143" s="26" t="s">
        <v>118</v>
      </c>
      <c r="I143" s="26" t="s">
        <v>118</v>
      </c>
      <c r="J143" s="26" t="s">
        <v>118</v>
      </c>
      <c r="K143" s="49">
        <f t="shared" ref="K143:P143" si="152">K129*105%</f>
        <v>2835</v>
      </c>
      <c r="L143" s="49">
        <f t="shared" si="152"/>
        <v>2835</v>
      </c>
      <c r="M143" s="49">
        <f t="shared" si="152"/>
        <v>2835</v>
      </c>
      <c r="N143" s="49">
        <f t="shared" si="152"/>
        <v>2835</v>
      </c>
      <c r="O143" s="49">
        <f t="shared" si="152"/>
        <v>2835</v>
      </c>
      <c r="P143" s="49">
        <f t="shared" si="152"/>
        <v>2835</v>
      </c>
      <c r="R143" s="1" t="s">
        <v>148</v>
      </c>
    </row>
    <row r="144" spans="2:18" x14ac:dyDescent="0.3">
      <c r="B144" s="1" t="s">
        <v>80</v>
      </c>
      <c r="C144" s="26" t="s">
        <v>118</v>
      </c>
      <c r="D144" s="26" t="s">
        <v>118</v>
      </c>
      <c r="E144" s="20">
        <f t="shared" ref="E144:F144" si="153">+E147-E145-E143-E142</f>
        <v>1066</v>
      </c>
      <c r="F144" s="20">
        <f t="shared" si="153"/>
        <v>1397</v>
      </c>
      <c r="G144" s="20">
        <f>+G147-G145-G143-G142</f>
        <v>823</v>
      </c>
      <c r="H144" s="26" t="s">
        <v>118</v>
      </c>
      <c r="I144" s="26" t="s">
        <v>118</v>
      </c>
      <c r="J144" s="26" t="s">
        <v>118</v>
      </c>
      <c r="K144" s="48">
        <f>G144</f>
        <v>823</v>
      </c>
      <c r="L144" s="48">
        <f t="shared" ref="L144:P144" si="154">K144</f>
        <v>823</v>
      </c>
      <c r="M144" s="48">
        <f t="shared" si="154"/>
        <v>823</v>
      </c>
      <c r="N144" s="48">
        <f t="shared" si="154"/>
        <v>823</v>
      </c>
      <c r="O144" s="48">
        <f t="shared" si="154"/>
        <v>823</v>
      </c>
      <c r="P144" s="48">
        <f t="shared" si="154"/>
        <v>823</v>
      </c>
      <c r="R144" s="1" t="s">
        <v>154</v>
      </c>
    </row>
    <row r="145" spans="2:18" x14ac:dyDescent="0.3">
      <c r="B145" s="1" t="s">
        <v>117</v>
      </c>
      <c r="C145" s="26" t="s">
        <v>118</v>
      </c>
      <c r="D145" s="26" t="s">
        <v>118</v>
      </c>
      <c r="E145" s="18">
        <f>-860+908+1504-697</f>
        <v>855</v>
      </c>
      <c r="F145" s="18">
        <f>19+343+674-555-432-389+1037-339</f>
        <v>358</v>
      </c>
      <c r="G145" s="18">
        <f>-630-334+1325+77</f>
        <v>438</v>
      </c>
      <c r="H145" s="26" t="s">
        <v>118</v>
      </c>
      <c r="I145" s="26" t="s">
        <v>118</v>
      </c>
      <c r="J145" s="26" t="s">
        <v>118</v>
      </c>
      <c r="K145" s="48">
        <v>0</v>
      </c>
      <c r="L145" s="48">
        <v>0</v>
      </c>
      <c r="M145" s="48">
        <v>0</v>
      </c>
      <c r="N145" s="48">
        <v>0</v>
      </c>
      <c r="O145" s="48">
        <v>0</v>
      </c>
      <c r="P145" s="48">
        <v>0</v>
      </c>
      <c r="R145" s="1" t="s">
        <v>149</v>
      </c>
    </row>
    <row r="146" spans="2:18" ht="3" customHeight="1" x14ac:dyDescent="0.3">
      <c r="C146" s="7"/>
      <c r="D146" s="7"/>
      <c r="E146" s="7"/>
      <c r="F146" s="7"/>
      <c r="G146" s="7"/>
      <c r="H146" s="7"/>
      <c r="I146" s="7"/>
      <c r="J146" s="7"/>
      <c r="K146" s="7"/>
      <c r="L146" s="7"/>
      <c r="M146" s="7"/>
      <c r="N146" s="7"/>
      <c r="O146" s="7"/>
      <c r="P146" s="7"/>
    </row>
    <row r="147" spans="2:18" x14ac:dyDescent="0.3">
      <c r="B147" s="1" t="s">
        <v>17</v>
      </c>
      <c r="C147" s="18">
        <v>-5303</v>
      </c>
      <c r="D147" s="18">
        <f>2335-7130</f>
        <v>-4795</v>
      </c>
      <c r="E147" s="18">
        <v>4320</v>
      </c>
      <c r="F147" s="18">
        <f>1984+2619</f>
        <v>4603</v>
      </c>
      <c r="G147" s="18">
        <v>5784</v>
      </c>
      <c r="H147" s="18">
        <v>5442</v>
      </c>
      <c r="I147" s="18">
        <v>2578</v>
      </c>
      <c r="J147" s="20">
        <f t="shared" ref="J147" si="155">+I147+G147-H147</f>
        <v>2920</v>
      </c>
      <c r="K147" s="20">
        <f>SUM(K142:K146)</f>
        <v>5653.9937119480001</v>
      </c>
      <c r="L147" s="20">
        <f t="shared" ref="L147:N147" si="156">SUM(L142:L146)</f>
        <v>6200.9390756560024</v>
      </c>
      <c r="M147" s="20">
        <f t="shared" si="156"/>
        <v>6565.2053711250874</v>
      </c>
      <c r="N147" s="20">
        <f t="shared" si="156"/>
        <v>6746.8423464671332</v>
      </c>
      <c r="O147" s="20">
        <f t="shared" ref="O147:P147" si="157">SUM(O142:O146)</f>
        <v>6923.5729105692017</v>
      </c>
      <c r="P147" s="20">
        <f t="shared" si="157"/>
        <v>7098.7158330082875</v>
      </c>
    </row>
    <row r="149" spans="2:18" x14ac:dyDescent="0.3">
      <c r="B149" s="23" t="s">
        <v>88</v>
      </c>
    </row>
    <row r="150" spans="2:18" x14ac:dyDescent="0.3">
      <c r="B150" s="1" t="s">
        <v>89</v>
      </c>
      <c r="C150" s="18">
        <v>-2765</v>
      </c>
      <c r="D150" s="18">
        <f>-1088-239</f>
        <v>-1327</v>
      </c>
      <c r="E150" s="18">
        <v>-2385</v>
      </c>
      <c r="F150" s="18">
        <f>-2072-937</f>
        <v>-3009</v>
      </c>
      <c r="G150" s="18">
        <v>-3633</v>
      </c>
      <c r="H150" s="18">
        <v>-3058</v>
      </c>
      <c r="I150" s="18">
        <v>-2436</v>
      </c>
      <c r="J150" s="20">
        <f t="shared" ref="J150:J155" si="158">+I150+G150-H150</f>
        <v>-3011</v>
      </c>
      <c r="K150" s="51">
        <v>-3000</v>
      </c>
      <c r="L150" s="51">
        <v>-3000</v>
      </c>
      <c r="M150" s="51">
        <v>-3000</v>
      </c>
      <c r="N150" s="51">
        <v>-3000</v>
      </c>
      <c r="O150" s="51">
        <v>-3000</v>
      </c>
      <c r="P150" s="51">
        <v>-3000</v>
      </c>
      <c r="R150" s="1" t="s">
        <v>150</v>
      </c>
    </row>
    <row r="151" spans="2:18" x14ac:dyDescent="0.3">
      <c r="B151" s="1" t="s">
        <v>91</v>
      </c>
      <c r="C151" s="26" t="s">
        <v>118</v>
      </c>
      <c r="D151" s="26" t="s">
        <v>118</v>
      </c>
      <c r="E151" s="18">
        <v>-35</v>
      </c>
      <c r="F151" s="18">
        <f>-14-21</f>
        <v>-35</v>
      </c>
      <c r="G151" s="18">
        <v>-123</v>
      </c>
      <c r="H151" s="18">
        <v>-7</v>
      </c>
      <c r="I151" s="18">
        <v>-17</v>
      </c>
      <c r="J151" s="20">
        <f>+I151+G151-H151</f>
        <v>-133</v>
      </c>
      <c r="K151" s="48">
        <f>G151</f>
        <v>-123</v>
      </c>
      <c r="L151" s="48">
        <f t="shared" ref="L151:P151" si="159">K151</f>
        <v>-123</v>
      </c>
      <c r="M151" s="48">
        <f t="shared" si="159"/>
        <v>-123</v>
      </c>
      <c r="N151" s="48">
        <f t="shared" si="159"/>
        <v>-123</v>
      </c>
      <c r="O151" s="48">
        <f t="shared" si="159"/>
        <v>-123</v>
      </c>
      <c r="P151" s="48">
        <f t="shared" si="159"/>
        <v>-123</v>
      </c>
      <c r="R151" s="1" t="s">
        <v>154</v>
      </c>
    </row>
    <row r="152" spans="2:18" x14ac:dyDescent="0.3">
      <c r="B152" s="1" t="s">
        <v>90</v>
      </c>
      <c r="C152" s="26" t="s">
        <v>118</v>
      </c>
      <c r="D152" s="26" t="s">
        <v>118</v>
      </c>
      <c r="E152" s="18">
        <v>13</v>
      </c>
      <c r="F152" s="18">
        <f>21+14</f>
        <v>35</v>
      </c>
      <c r="G152" s="18">
        <v>9</v>
      </c>
      <c r="H152" s="18">
        <v>8</v>
      </c>
      <c r="I152" s="18">
        <v>9</v>
      </c>
      <c r="J152" s="20">
        <f t="shared" si="158"/>
        <v>10</v>
      </c>
      <c r="K152" s="48">
        <v>0</v>
      </c>
      <c r="L152" s="48">
        <v>0</v>
      </c>
      <c r="M152" s="48">
        <v>0</v>
      </c>
      <c r="N152" s="48">
        <v>0</v>
      </c>
      <c r="O152" s="48">
        <v>0</v>
      </c>
      <c r="P152" s="48">
        <v>0</v>
      </c>
      <c r="R152" s="1" t="s">
        <v>149</v>
      </c>
    </row>
    <row r="153" spans="2:18" x14ac:dyDescent="0.3">
      <c r="B153" s="1" t="s">
        <v>80</v>
      </c>
      <c r="C153" s="26" t="s">
        <v>118</v>
      </c>
      <c r="D153" s="26" t="s">
        <v>118</v>
      </c>
      <c r="E153" s="20">
        <f t="shared" ref="E153:J153" si="160">+E155-E151-E152-E150</f>
        <v>1240</v>
      </c>
      <c r="F153" s="20">
        <f t="shared" si="160"/>
        <v>9129</v>
      </c>
      <c r="G153" s="20">
        <f t="shared" si="160"/>
        <v>190</v>
      </c>
      <c r="H153" s="20">
        <f t="shared" si="160"/>
        <v>123</v>
      </c>
      <c r="I153" s="20">
        <f t="shared" si="160"/>
        <v>31</v>
      </c>
      <c r="J153" s="20">
        <f t="shared" si="160"/>
        <v>98</v>
      </c>
      <c r="K153" s="48">
        <f>G153</f>
        <v>190</v>
      </c>
      <c r="L153" s="48">
        <f t="shared" ref="L153:P153" si="161">K153</f>
        <v>190</v>
      </c>
      <c r="M153" s="48">
        <f t="shared" si="161"/>
        <v>190</v>
      </c>
      <c r="N153" s="48">
        <f t="shared" si="161"/>
        <v>190</v>
      </c>
      <c r="O153" s="48">
        <f t="shared" si="161"/>
        <v>190</v>
      </c>
      <c r="P153" s="48">
        <f t="shared" si="161"/>
        <v>190</v>
      </c>
      <c r="R153" s="1" t="s">
        <v>154</v>
      </c>
    </row>
    <row r="154" spans="2:18" ht="3" customHeight="1" x14ac:dyDescent="0.3">
      <c r="C154" s="7"/>
      <c r="D154" s="7"/>
      <c r="E154" s="7"/>
      <c r="F154" s="7"/>
      <c r="G154" s="7"/>
      <c r="H154" s="7"/>
      <c r="I154" s="7"/>
      <c r="J154" s="7"/>
      <c r="K154" s="7"/>
      <c r="L154" s="7"/>
      <c r="M154" s="7"/>
      <c r="N154" s="7"/>
      <c r="O154" s="7"/>
      <c r="P154" s="7"/>
    </row>
    <row r="155" spans="2:18" x14ac:dyDescent="0.3">
      <c r="B155" s="1" t="s">
        <v>17</v>
      </c>
      <c r="C155" s="18">
        <v>-3632</v>
      </c>
      <c r="D155" s="18">
        <f>250-404</f>
        <v>-154</v>
      </c>
      <c r="E155" s="18">
        <v>-1167</v>
      </c>
      <c r="F155" s="18">
        <f>6372-252</f>
        <v>6120</v>
      </c>
      <c r="G155" s="18">
        <v>-3557</v>
      </c>
      <c r="H155" s="18">
        <v>-2934</v>
      </c>
      <c r="I155" s="18">
        <v>-2413</v>
      </c>
      <c r="J155" s="20">
        <f t="shared" si="158"/>
        <v>-3036</v>
      </c>
      <c r="K155" s="17">
        <f t="shared" ref="K155:P155" si="162">SUM(K150:K154)</f>
        <v>-2933</v>
      </c>
      <c r="L155" s="17">
        <f t="shared" si="162"/>
        <v>-2933</v>
      </c>
      <c r="M155" s="17">
        <f t="shared" si="162"/>
        <v>-2933</v>
      </c>
      <c r="N155" s="17">
        <f t="shared" si="162"/>
        <v>-2933</v>
      </c>
      <c r="O155" s="17">
        <f t="shared" si="162"/>
        <v>-2933</v>
      </c>
      <c r="P155" s="17">
        <f t="shared" si="162"/>
        <v>-2933</v>
      </c>
    </row>
    <row r="157" spans="2:18" x14ac:dyDescent="0.3">
      <c r="B157" s="23" t="s">
        <v>92</v>
      </c>
    </row>
    <row r="158" spans="2:18" x14ac:dyDescent="0.3">
      <c r="B158" s="1" t="s">
        <v>93</v>
      </c>
      <c r="C158" s="26" t="s">
        <v>118</v>
      </c>
      <c r="D158" s="26" t="s">
        <v>118</v>
      </c>
      <c r="E158" s="20">
        <f t="shared" ref="E158:H158" si="163">+E161-E159</f>
        <v>-1417</v>
      </c>
      <c r="F158" s="20">
        <f t="shared" si="163"/>
        <v>-1511</v>
      </c>
      <c r="G158" s="20">
        <f t="shared" si="163"/>
        <v>-161</v>
      </c>
      <c r="H158" s="20">
        <f t="shared" si="163"/>
        <v>-92</v>
      </c>
      <c r="I158" s="20">
        <f>+I161-I159</f>
        <v>-128</v>
      </c>
      <c r="J158" s="20">
        <f t="shared" ref="J158" si="164">+J161-J159</f>
        <v>-197</v>
      </c>
      <c r="K158" s="48">
        <v>-500</v>
      </c>
      <c r="L158" s="48">
        <v>-500</v>
      </c>
      <c r="M158" s="48">
        <v>-500</v>
      </c>
      <c r="N158" s="48">
        <v>-500</v>
      </c>
      <c r="O158" s="48">
        <v>-500</v>
      </c>
      <c r="P158" s="48">
        <v>-500</v>
      </c>
      <c r="R158" s="1" t="s">
        <v>153</v>
      </c>
    </row>
    <row r="159" spans="2:18" x14ac:dyDescent="0.3">
      <c r="B159" s="1" t="s">
        <v>80</v>
      </c>
      <c r="C159" s="26" t="s">
        <v>118</v>
      </c>
      <c r="D159" s="26" t="s">
        <v>118</v>
      </c>
      <c r="E159" s="18">
        <v>-109</v>
      </c>
      <c r="F159" s="18">
        <f>-3+1968-75-625-18-58-6-54-23</f>
        <v>1106</v>
      </c>
      <c r="G159" s="18">
        <f>-6-84+107+150</f>
        <v>167</v>
      </c>
      <c r="H159" s="18">
        <f>-4-63+645-41</f>
        <v>537</v>
      </c>
      <c r="I159" s="18">
        <f>-7-60+7-156+250-27</f>
        <v>7</v>
      </c>
      <c r="J159" s="20">
        <f t="shared" ref="J159" si="165">+I159+G159-H159</f>
        <v>-363</v>
      </c>
      <c r="K159" s="48">
        <v>0</v>
      </c>
      <c r="L159" s="48">
        <v>0</v>
      </c>
      <c r="M159" s="48">
        <v>0</v>
      </c>
      <c r="N159" s="48">
        <v>0</v>
      </c>
      <c r="O159" s="48">
        <v>0</v>
      </c>
      <c r="P159" s="48">
        <v>0</v>
      </c>
      <c r="R159" s="1" t="s">
        <v>149</v>
      </c>
    </row>
    <row r="160" spans="2:18" ht="3" customHeight="1" x14ac:dyDescent="0.3">
      <c r="C160" s="7"/>
      <c r="D160" s="7"/>
      <c r="E160" s="7"/>
      <c r="F160" s="7"/>
      <c r="G160" s="7"/>
      <c r="H160" s="7"/>
      <c r="I160" s="7"/>
      <c r="J160" s="7"/>
      <c r="K160" s="7"/>
      <c r="L160" s="7"/>
      <c r="M160" s="7"/>
      <c r="N160" s="7"/>
      <c r="O160" s="7"/>
      <c r="P160" s="7"/>
    </row>
    <row r="161" spans="2:18" x14ac:dyDescent="0.3">
      <c r="B161" s="1" t="s">
        <v>17</v>
      </c>
      <c r="C161" s="18">
        <v>1058</v>
      </c>
      <c r="D161" s="18">
        <f>3268+7517</f>
        <v>10785</v>
      </c>
      <c r="E161" s="18">
        <v>-1526</v>
      </c>
      <c r="F161" s="18">
        <f>1270-1675</f>
        <v>-405</v>
      </c>
      <c r="G161" s="18">
        <v>6</v>
      </c>
      <c r="H161" s="18">
        <v>445</v>
      </c>
      <c r="I161" s="18">
        <v>-121</v>
      </c>
      <c r="J161" s="20">
        <f t="shared" ref="J161" si="166">+I161+G161-H161</f>
        <v>-560</v>
      </c>
      <c r="K161" s="20">
        <f>SUM(K158:K160)</f>
        <v>-500</v>
      </c>
      <c r="L161" s="20">
        <f t="shared" ref="L161:N161" si="167">SUM(L158:L160)</f>
        <v>-500</v>
      </c>
      <c r="M161" s="20">
        <f t="shared" si="167"/>
        <v>-500</v>
      </c>
      <c r="N161" s="20">
        <f t="shared" si="167"/>
        <v>-500</v>
      </c>
      <c r="O161" s="20">
        <f t="shared" ref="O161:P161" si="168">SUM(O158:O160)</f>
        <v>-500</v>
      </c>
      <c r="P161" s="20">
        <f t="shared" si="168"/>
        <v>-500</v>
      </c>
    </row>
    <row r="163" spans="2:18" x14ac:dyDescent="0.3">
      <c r="B163" s="1" t="s">
        <v>94</v>
      </c>
      <c r="C163" s="18"/>
      <c r="D163" s="18"/>
      <c r="E163" s="18">
        <v>-142</v>
      </c>
      <c r="F163" s="18">
        <f>-25+51</f>
        <v>26</v>
      </c>
      <c r="G163" s="18">
        <v>0</v>
      </c>
      <c r="H163" s="18">
        <v>3</v>
      </c>
      <c r="I163" s="18">
        <v>-97</v>
      </c>
      <c r="J163" s="20">
        <f t="shared" ref="J163" si="169">+I163+G163-H163</f>
        <v>-100</v>
      </c>
      <c r="K163" s="48">
        <v>0</v>
      </c>
      <c r="L163" s="48">
        <v>0</v>
      </c>
      <c r="M163" s="48">
        <v>0</v>
      </c>
      <c r="N163" s="48">
        <v>0</v>
      </c>
      <c r="O163" s="48">
        <v>0</v>
      </c>
      <c r="P163" s="48">
        <v>0</v>
      </c>
      <c r="R163" s="1" t="s">
        <v>151</v>
      </c>
    </row>
    <row r="165" spans="2:18" x14ac:dyDescent="0.3">
      <c r="B165" s="1" t="s">
        <v>95</v>
      </c>
      <c r="C165" s="17">
        <f t="shared" ref="C165:N165" si="170">+C147+C155+C161+C163</f>
        <v>-7877</v>
      </c>
      <c r="D165" s="17">
        <f t="shared" si="170"/>
        <v>5836</v>
      </c>
      <c r="E165" s="17">
        <f t="shared" si="170"/>
        <v>1485</v>
      </c>
      <c r="F165" s="17">
        <f t="shared" si="170"/>
        <v>10344</v>
      </c>
      <c r="G165" s="17">
        <f t="shared" si="170"/>
        <v>2233</v>
      </c>
      <c r="H165" s="17">
        <f t="shared" si="170"/>
        <v>2956</v>
      </c>
      <c r="I165" s="17">
        <f t="shared" si="170"/>
        <v>-53</v>
      </c>
      <c r="J165" s="17">
        <f t="shared" si="170"/>
        <v>-776</v>
      </c>
      <c r="K165" s="17">
        <f t="shared" si="170"/>
        <v>2220.9937119480001</v>
      </c>
      <c r="L165" s="17">
        <f t="shared" si="170"/>
        <v>2767.9390756560024</v>
      </c>
      <c r="M165" s="17">
        <f t="shared" si="170"/>
        <v>3132.2053711250874</v>
      </c>
      <c r="N165" s="17">
        <f t="shared" si="170"/>
        <v>3313.8423464671332</v>
      </c>
      <c r="O165" s="17">
        <f t="shared" ref="O165:P165" si="171">+O147+O155+O161+O163</f>
        <v>3490.5729105692017</v>
      </c>
      <c r="P165" s="17">
        <f t="shared" si="171"/>
        <v>3665.7158330082875</v>
      </c>
    </row>
    <row r="166" spans="2:18" x14ac:dyDescent="0.3">
      <c r="B166" s="1" t="s">
        <v>96</v>
      </c>
      <c r="C166" s="18"/>
      <c r="D166" s="18"/>
      <c r="E166" s="18">
        <f>D167</f>
        <v>5862</v>
      </c>
      <c r="F166" s="18">
        <v>-743</v>
      </c>
      <c r="G166" s="18">
        <f>F167</f>
        <v>9601</v>
      </c>
      <c r="H166" s="18">
        <f>F167</f>
        <v>9601</v>
      </c>
      <c r="I166" s="18">
        <f>G167</f>
        <v>11834</v>
      </c>
      <c r="J166" s="18">
        <f>H167</f>
        <v>12557</v>
      </c>
      <c r="K166" s="18">
        <f>+G167</f>
        <v>11834</v>
      </c>
      <c r="L166" s="18">
        <f t="shared" ref="L166:P166" si="172">K167</f>
        <v>14054.993711948</v>
      </c>
      <c r="M166" s="18">
        <f t="shared" si="172"/>
        <v>16822.932787604004</v>
      </c>
      <c r="N166" s="18">
        <f t="shared" si="172"/>
        <v>19955.138158729093</v>
      </c>
      <c r="O166" s="18">
        <f t="shared" si="172"/>
        <v>23268.980505196225</v>
      </c>
      <c r="P166" s="18">
        <f t="shared" si="172"/>
        <v>26759.553415765426</v>
      </c>
    </row>
    <row r="167" spans="2:18" x14ac:dyDescent="0.3">
      <c r="B167" s="1" t="s">
        <v>97</v>
      </c>
      <c r="C167" s="18">
        <v>1898</v>
      </c>
      <c r="D167" s="18">
        <v>5862</v>
      </c>
      <c r="E167" s="17">
        <f t="shared" ref="E167:H167" si="173">SUM(E165:E166)</f>
        <v>7347</v>
      </c>
      <c r="F167" s="17">
        <f t="shared" si="173"/>
        <v>9601</v>
      </c>
      <c r="G167" s="17">
        <f t="shared" si="173"/>
        <v>11834</v>
      </c>
      <c r="H167" s="17">
        <f t="shared" si="173"/>
        <v>12557</v>
      </c>
      <c r="I167" s="17">
        <f>SUM(I165:I166)</f>
        <v>11781</v>
      </c>
      <c r="J167" s="17">
        <f>SUM(J165:J166)</f>
        <v>11781</v>
      </c>
      <c r="K167" s="17">
        <f t="shared" ref="K167:N167" si="174">SUM(K165:K166)</f>
        <v>14054.993711948</v>
      </c>
      <c r="L167" s="17">
        <f t="shared" si="174"/>
        <v>16822.932787604004</v>
      </c>
      <c r="M167" s="17">
        <f t="shared" si="174"/>
        <v>19955.138158729093</v>
      </c>
      <c r="N167" s="17">
        <f t="shared" si="174"/>
        <v>23268.980505196225</v>
      </c>
      <c r="O167" s="17">
        <f t="shared" ref="O167:P167" si="175">SUM(O165:O166)</f>
        <v>26759.553415765426</v>
      </c>
      <c r="P167" s="17">
        <f t="shared" si="175"/>
        <v>30425.269248773715</v>
      </c>
    </row>
    <row r="168" spans="2:18" x14ac:dyDescent="0.3">
      <c r="P168" s="52"/>
    </row>
    <row r="169" spans="2:18" s="3" customFormat="1" ht="20.25" customHeight="1" x14ac:dyDescent="0.45">
      <c r="B169" s="11" t="s">
        <v>122</v>
      </c>
      <c r="C169" s="4"/>
      <c r="D169" s="4"/>
      <c r="E169" s="4"/>
      <c r="F169" s="4"/>
      <c r="G169" s="4"/>
      <c r="H169" s="13"/>
      <c r="I169" s="13"/>
      <c r="J169" s="13"/>
      <c r="K169" s="13"/>
      <c r="L169" s="13"/>
      <c r="M169" s="13"/>
      <c r="N169" s="13"/>
      <c r="O169" s="13"/>
      <c r="P169" s="44"/>
    </row>
    <row r="170" spans="2:18" x14ac:dyDescent="0.3">
      <c r="B170" s="1" t="s">
        <v>123</v>
      </c>
      <c r="C170" s="32"/>
      <c r="D170" s="32"/>
      <c r="E170" s="17">
        <f t="shared" ref="E170:N170" si="176">E147</f>
        <v>4320</v>
      </c>
      <c r="F170" s="17">
        <f t="shared" si="176"/>
        <v>4603</v>
      </c>
      <c r="G170" s="17">
        <f t="shared" si="176"/>
        <v>5784</v>
      </c>
      <c r="H170" s="17">
        <f t="shared" si="176"/>
        <v>5442</v>
      </c>
      <c r="I170" s="17">
        <f t="shared" si="176"/>
        <v>2578</v>
      </c>
      <c r="J170" s="17">
        <f t="shared" si="176"/>
        <v>2920</v>
      </c>
      <c r="K170" s="17">
        <f t="shared" si="176"/>
        <v>5653.9937119480001</v>
      </c>
      <c r="L170" s="17">
        <f t="shared" si="176"/>
        <v>6200.9390756560024</v>
      </c>
      <c r="M170" s="17">
        <f t="shared" si="176"/>
        <v>6565.2053711250874</v>
      </c>
      <c r="N170" s="17">
        <f t="shared" si="176"/>
        <v>6746.8423464671332</v>
      </c>
      <c r="O170" s="17">
        <f t="shared" ref="O170:P170" si="177">O147</f>
        <v>6923.5729105692017</v>
      </c>
      <c r="P170" s="17">
        <f t="shared" si="177"/>
        <v>7098.7158330082875</v>
      </c>
    </row>
    <row r="171" spans="2:18" x14ac:dyDescent="0.3">
      <c r="B171" s="1" t="s">
        <v>124</v>
      </c>
      <c r="C171" s="32"/>
      <c r="D171" s="32"/>
      <c r="E171" s="17">
        <f t="shared" ref="E171:N171" si="178">E155</f>
        <v>-1167</v>
      </c>
      <c r="F171" s="17">
        <f t="shared" si="178"/>
        <v>6120</v>
      </c>
      <c r="G171" s="17">
        <f t="shared" si="178"/>
        <v>-3557</v>
      </c>
      <c r="H171" s="17">
        <f t="shared" si="178"/>
        <v>-2934</v>
      </c>
      <c r="I171" s="17">
        <f t="shared" si="178"/>
        <v>-2413</v>
      </c>
      <c r="J171" s="17">
        <f t="shared" si="178"/>
        <v>-3036</v>
      </c>
      <c r="K171" s="17">
        <f t="shared" si="178"/>
        <v>-2933</v>
      </c>
      <c r="L171" s="17">
        <f t="shared" si="178"/>
        <v>-2933</v>
      </c>
      <c r="M171" s="17">
        <f t="shared" si="178"/>
        <v>-2933</v>
      </c>
      <c r="N171" s="17">
        <f t="shared" si="178"/>
        <v>-2933</v>
      </c>
      <c r="O171" s="17">
        <f t="shared" ref="O171:P171" si="179">O155</f>
        <v>-2933</v>
      </c>
      <c r="P171" s="17">
        <f t="shared" si="179"/>
        <v>-2933</v>
      </c>
    </row>
    <row r="172" spans="2:18" x14ac:dyDescent="0.3">
      <c r="B172" s="1" t="s">
        <v>80</v>
      </c>
      <c r="C172" s="32"/>
      <c r="D172" s="32"/>
      <c r="E172" s="17">
        <f t="shared" ref="E172:H172" si="180">+E174-E171-E170</f>
        <v>-1673</v>
      </c>
      <c r="F172" s="17">
        <f t="shared" si="180"/>
        <v>-686</v>
      </c>
      <c r="G172" s="17">
        <f t="shared" si="180"/>
        <v>-43</v>
      </c>
      <c r="H172" s="17">
        <f t="shared" si="180"/>
        <v>-42</v>
      </c>
      <c r="I172" s="17">
        <f>+I174-I171-I170</f>
        <v>0</v>
      </c>
      <c r="J172" s="17">
        <f>+J174-J171-J170</f>
        <v>-1</v>
      </c>
      <c r="K172" s="48">
        <v>0</v>
      </c>
      <c r="L172" s="48">
        <v>0</v>
      </c>
      <c r="M172" s="48">
        <v>0</v>
      </c>
      <c r="N172" s="48">
        <v>0</v>
      </c>
      <c r="O172" s="48">
        <v>0</v>
      </c>
      <c r="P172" s="48">
        <v>0</v>
      </c>
      <c r="R172" s="1" t="s">
        <v>149</v>
      </c>
    </row>
    <row r="173" spans="2:18" ht="3" customHeight="1" x14ac:dyDescent="0.3">
      <c r="C173" s="33"/>
      <c r="D173" s="33"/>
      <c r="E173" s="7"/>
      <c r="F173" s="7"/>
      <c r="G173" s="7"/>
      <c r="H173" s="7"/>
      <c r="I173" s="7"/>
      <c r="J173" s="7">
        <f t="shared" ref="J173:J174" si="181">+I173+G173-H173</f>
        <v>0</v>
      </c>
      <c r="K173" s="7"/>
      <c r="L173" s="7"/>
      <c r="M173" s="7"/>
      <c r="N173" s="7"/>
      <c r="O173" s="7"/>
      <c r="P173" s="7"/>
    </row>
    <row r="174" spans="2:18" x14ac:dyDescent="0.3">
      <c r="B174" s="1" t="s">
        <v>122</v>
      </c>
      <c r="C174" s="34"/>
      <c r="D174" s="34"/>
      <c r="E174" s="18">
        <v>1480</v>
      </c>
      <c r="F174" s="18">
        <f>8266+1771</f>
        <v>10037</v>
      </c>
      <c r="G174" s="18">
        <v>2184</v>
      </c>
      <c r="H174" s="18">
        <v>2466</v>
      </c>
      <c r="I174" s="18">
        <v>165</v>
      </c>
      <c r="J174" s="20">
        <f t="shared" si="181"/>
        <v>-117</v>
      </c>
      <c r="K174" s="20">
        <f t="shared" ref="K174:P174" si="182">SUM(K170:K173)</f>
        <v>2720.9937119480001</v>
      </c>
      <c r="L174" s="20">
        <f t="shared" si="182"/>
        <v>3267.9390756560024</v>
      </c>
      <c r="M174" s="20">
        <f t="shared" si="182"/>
        <v>3632.2053711250874</v>
      </c>
      <c r="N174" s="20">
        <f t="shared" si="182"/>
        <v>3813.8423464671332</v>
      </c>
      <c r="O174" s="20">
        <f t="shared" si="182"/>
        <v>3990.5729105692017</v>
      </c>
      <c r="P174" s="20">
        <f t="shared" si="182"/>
        <v>4165.7158330082875</v>
      </c>
    </row>
    <row r="175" spans="2:18" s="19" customFormat="1" x14ac:dyDescent="0.3">
      <c r="B175" s="31" t="s">
        <v>75</v>
      </c>
      <c r="C175" s="36"/>
      <c r="D175" s="36"/>
      <c r="E175" s="36">
        <f t="shared" ref="E175" si="183">+E174/E$93</f>
        <v>3.5283459686263292E-2</v>
      </c>
      <c r="F175" s="36">
        <f t="shared" ref="F175" si="184">+F174/F$93</f>
        <v>0.18231191194100338</v>
      </c>
      <c r="G175" s="36">
        <f t="shared" ref="G175" si="185">+G174/G$93</f>
        <v>3.3186950113206402E-2</v>
      </c>
      <c r="H175" s="36">
        <f t="shared" ref="H175" si="186">+H174/H$93</f>
        <v>5.0682341335087144E-2</v>
      </c>
      <c r="I175" s="36">
        <f t="shared" ref="I175" si="187">+I174/I$93</f>
        <v>3.238914080442848E-3</v>
      </c>
      <c r="J175" s="36">
        <f t="shared" ref="J175" si="188">+J174/J$93</f>
        <v>-1.7181625939849624E-3</v>
      </c>
      <c r="K175" s="36">
        <f t="shared" ref="K175" si="189">+K174/K$93</f>
        <v>3.7351503298226348E-2</v>
      </c>
      <c r="L175" s="36">
        <f t="shared" ref="L175" si="190">+L174/L$93</f>
        <v>3.958079664822714E-2</v>
      </c>
      <c r="M175" s="36">
        <f t="shared" ref="M175" si="191">+M174/M$93</f>
        <v>3.934444934821768E-2</v>
      </c>
      <c r="N175" s="36">
        <f t="shared" ref="N175:O175" si="192">+N174/N$93</f>
        <v>3.7336193676407989E-2</v>
      </c>
      <c r="O175" s="36">
        <f t="shared" si="192"/>
        <v>3.6343783272644446E-2</v>
      </c>
      <c r="P175" s="36">
        <f t="shared" ref="P175" si="193">+P174/P$93</f>
        <v>3.5288843805811564E-2</v>
      </c>
    </row>
    <row r="176" spans="2:18" x14ac:dyDescent="0.3">
      <c r="P176" s="52"/>
    </row>
    <row r="177" spans="2:18" s="3" customFormat="1" ht="20.25" customHeight="1" x14ac:dyDescent="0.45">
      <c r="B177" s="11" t="s">
        <v>98</v>
      </c>
      <c r="C177" s="4"/>
      <c r="D177" s="4"/>
      <c r="E177" s="4"/>
      <c r="F177" s="4"/>
      <c r="G177" s="4"/>
      <c r="H177" s="13"/>
      <c r="I177" s="13"/>
      <c r="J177" s="13"/>
      <c r="K177" s="13"/>
      <c r="L177" s="13"/>
      <c r="M177" s="13"/>
      <c r="N177" s="13"/>
      <c r="O177" s="13"/>
      <c r="P177" s="44"/>
    </row>
    <row r="178" spans="2:18" x14ac:dyDescent="0.3">
      <c r="B178" s="1" t="s">
        <v>99</v>
      </c>
      <c r="C178" s="20">
        <f>C167</f>
        <v>1898</v>
      </c>
      <c r="D178" s="20">
        <f>D167</f>
        <v>5862</v>
      </c>
      <c r="E178" s="20">
        <f>E167</f>
        <v>7347</v>
      </c>
      <c r="F178" s="20">
        <f>F167</f>
        <v>9601</v>
      </c>
      <c r="G178" s="20">
        <f>G167</f>
        <v>11834</v>
      </c>
      <c r="H178" s="20"/>
      <c r="I178" s="20">
        <f t="shared" ref="I178:O178" si="194">I167</f>
        <v>11781</v>
      </c>
      <c r="J178" s="20">
        <f t="shared" si="194"/>
        <v>11781</v>
      </c>
      <c r="K178" s="20">
        <f t="shared" si="194"/>
        <v>14054.993711948</v>
      </c>
      <c r="L178" s="20">
        <f t="shared" si="194"/>
        <v>16822.932787604004</v>
      </c>
      <c r="M178" s="20">
        <f t="shared" si="194"/>
        <v>19955.138158729093</v>
      </c>
      <c r="N178" s="20">
        <f t="shared" si="194"/>
        <v>23268.980505196225</v>
      </c>
      <c r="O178" s="20">
        <f t="shared" si="194"/>
        <v>26759.553415765426</v>
      </c>
      <c r="P178" s="20">
        <f t="shared" ref="P178" si="195">P167</f>
        <v>30425.269248773715</v>
      </c>
    </row>
    <row r="179" spans="2:18" x14ac:dyDescent="0.3">
      <c r="B179" s="1" t="s">
        <v>100</v>
      </c>
      <c r="C179" s="18"/>
      <c r="D179" s="18"/>
      <c r="E179" s="18"/>
      <c r="F179" s="18">
        <v>106</v>
      </c>
      <c r="G179" s="18">
        <v>28</v>
      </c>
      <c r="H179" s="18"/>
      <c r="I179" s="18">
        <v>17</v>
      </c>
      <c r="J179" s="20">
        <f>I179</f>
        <v>17</v>
      </c>
      <c r="K179" s="48">
        <f>J179</f>
        <v>17</v>
      </c>
      <c r="L179" s="48">
        <f t="shared" ref="L179:P179" si="196">K179</f>
        <v>17</v>
      </c>
      <c r="M179" s="48">
        <f t="shared" si="196"/>
        <v>17</v>
      </c>
      <c r="N179" s="48">
        <f t="shared" si="196"/>
        <v>17</v>
      </c>
      <c r="O179" s="48">
        <f t="shared" si="196"/>
        <v>17</v>
      </c>
      <c r="P179" s="48">
        <f t="shared" si="196"/>
        <v>17</v>
      </c>
      <c r="R179" s="1" t="s">
        <v>155</v>
      </c>
    </row>
    <row r="180" spans="2:18" x14ac:dyDescent="0.3">
      <c r="B180" s="1" t="s">
        <v>101</v>
      </c>
      <c r="C180" s="18"/>
      <c r="D180" s="18"/>
      <c r="E180" s="18"/>
      <c r="F180" s="18">
        <v>845</v>
      </c>
      <c r="G180" s="18">
        <v>1179</v>
      </c>
      <c r="H180" s="18"/>
      <c r="I180" s="18">
        <v>1496</v>
      </c>
      <c r="J180" s="20">
        <f>I180</f>
        <v>1496</v>
      </c>
      <c r="K180" s="20">
        <f t="shared" ref="K180:P180" si="197">K93*K181/365</f>
        <v>1600.4033214755643</v>
      </c>
      <c r="L180" s="20">
        <f t="shared" si="197"/>
        <v>1813.8418245899911</v>
      </c>
      <c r="M180" s="20">
        <f t="shared" si="197"/>
        <v>2028.1352643262292</v>
      </c>
      <c r="N180" s="20">
        <f t="shared" si="197"/>
        <v>2244.1024889868895</v>
      </c>
      <c r="O180" s="20">
        <f t="shared" si="197"/>
        <v>2412.2099674104907</v>
      </c>
      <c r="P180" s="20">
        <f t="shared" si="197"/>
        <v>2593.356387548868</v>
      </c>
    </row>
    <row r="181" spans="2:18" x14ac:dyDescent="0.3">
      <c r="B181" s="31" t="s">
        <v>142</v>
      </c>
      <c r="F181" s="59">
        <f>F180/F93*365</f>
        <v>5.6022269044937696</v>
      </c>
      <c r="G181" s="59">
        <f>G180/G93*365</f>
        <v>6.5391511799297968</v>
      </c>
      <c r="I181" s="59"/>
      <c r="J181" s="59">
        <f>J180/J93*365</f>
        <v>8.0186795112781954</v>
      </c>
      <c r="K181" s="60">
        <f t="shared" ref="K181:P181" si="198">J181</f>
        <v>8.0186795112781954</v>
      </c>
      <c r="L181" s="60">
        <f t="shared" si="198"/>
        <v>8.0186795112781954</v>
      </c>
      <c r="M181" s="60">
        <f t="shared" si="198"/>
        <v>8.0186795112781954</v>
      </c>
      <c r="N181" s="60">
        <f t="shared" si="198"/>
        <v>8.0186795112781954</v>
      </c>
      <c r="O181" s="60">
        <f t="shared" si="198"/>
        <v>8.0186795112781954</v>
      </c>
      <c r="P181" s="60">
        <f t="shared" si="198"/>
        <v>8.0186795112781954</v>
      </c>
      <c r="R181" s="1" t="s">
        <v>155</v>
      </c>
    </row>
    <row r="182" spans="2:18" ht="3" customHeight="1" x14ac:dyDescent="0.3">
      <c r="B182" s="58"/>
      <c r="F182" s="59"/>
      <c r="G182" s="59"/>
      <c r="I182" s="59"/>
      <c r="J182" s="59"/>
      <c r="K182" s="59"/>
      <c r="L182" s="59"/>
      <c r="M182" s="59"/>
      <c r="N182" s="59"/>
      <c r="O182" s="59"/>
      <c r="P182" s="59"/>
    </row>
    <row r="183" spans="2:18" x14ac:dyDescent="0.3">
      <c r="B183" s="1" t="s">
        <v>102</v>
      </c>
      <c r="C183" s="18"/>
      <c r="D183" s="18"/>
      <c r="E183" s="18"/>
      <c r="F183" s="18">
        <v>1366</v>
      </c>
      <c r="G183" s="18">
        <v>4998</v>
      </c>
      <c r="H183" s="18"/>
      <c r="I183" s="18">
        <v>6661</v>
      </c>
      <c r="J183" s="20">
        <f>I183</f>
        <v>6661</v>
      </c>
      <c r="K183" s="20">
        <f t="shared" ref="K183:P183" si="199">K96*-K184/365</f>
        <v>7109.3188381783111</v>
      </c>
      <c r="L183" s="20">
        <f t="shared" si="199"/>
        <v>8028.849963624185</v>
      </c>
      <c r="M183" s="20">
        <f t="shared" si="199"/>
        <v>8956.081590491649</v>
      </c>
      <c r="N183" s="20">
        <f t="shared" si="199"/>
        <v>9909.775418982661</v>
      </c>
      <c r="O183" s="20">
        <f t="shared" si="199"/>
        <v>10652.124471935873</v>
      </c>
      <c r="P183" s="20">
        <f t="shared" si="199"/>
        <v>11452.052438832969</v>
      </c>
    </row>
    <row r="184" spans="2:18" x14ac:dyDescent="0.3">
      <c r="B184" s="31" t="s">
        <v>143</v>
      </c>
      <c r="F184" s="59">
        <f>F183/-F96*365</f>
        <v>10.665939331707525</v>
      </c>
      <c r="G184" s="59">
        <f>G183/-G96*365</f>
        <v>32.976681127982644</v>
      </c>
      <c r="I184" s="59"/>
      <c r="J184" s="59">
        <f>J183/-J96*365</f>
        <v>42.154573038578242</v>
      </c>
      <c r="K184" s="60">
        <f t="shared" ref="K184:P184" si="200">J184</f>
        <v>42.154573038578242</v>
      </c>
      <c r="L184" s="60">
        <f t="shared" si="200"/>
        <v>42.154573038578242</v>
      </c>
      <c r="M184" s="60">
        <f t="shared" si="200"/>
        <v>42.154573038578242</v>
      </c>
      <c r="N184" s="60">
        <f t="shared" si="200"/>
        <v>42.154573038578242</v>
      </c>
      <c r="O184" s="60">
        <f t="shared" si="200"/>
        <v>42.154573038578242</v>
      </c>
      <c r="P184" s="60">
        <f t="shared" si="200"/>
        <v>42.154573038578242</v>
      </c>
      <c r="R184" s="1" t="s">
        <v>155</v>
      </c>
    </row>
    <row r="185" spans="2:18" ht="3" customHeight="1" x14ac:dyDescent="0.3"/>
    <row r="186" spans="2:18" x14ac:dyDescent="0.3">
      <c r="B186" s="1" t="s">
        <v>80</v>
      </c>
      <c r="C186" s="18"/>
      <c r="D186" s="18"/>
      <c r="E186" s="18"/>
      <c r="F186" s="18">
        <f>1599+25</f>
        <v>1624</v>
      </c>
      <c r="G186" s="18">
        <f>1120+23</f>
        <v>1143</v>
      </c>
      <c r="H186" s="18"/>
      <c r="I186" s="18">
        <f>1631+13</f>
        <v>1644</v>
      </c>
      <c r="J186" s="20">
        <f>I186</f>
        <v>1644</v>
      </c>
      <c r="K186" s="48">
        <f t="shared" ref="K186:P186" si="201">J186*102%</f>
        <v>1676.88</v>
      </c>
      <c r="L186" s="48">
        <f t="shared" si="201"/>
        <v>1710.4176000000002</v>
      </c>
      <c r="M186" s="48">
        <f t="shared" si="201"/>
        <v>1744.6259520000003</v>
      </c>
      <c r="N186" s="48">
        <f t="shared" si="201"/>
        <v>1779.5184710400003</v>
      </c>
      <c r="O186" s="48">
        <f t="shared" si="201"/>
        <v>1815.1088404608004</v>
      </c>
      <c r="P186" s="48">
        <f t="shared" si="201"/>
        <v>1851.4110172700164</v>
      </c>
      <c r="R186" s="1" t="s">
        <v>160</v>
      </c>
    </row>
    <row r="187" spans="2:18" ht="3" customHeight="1" x14ac:dyDescent="0.3">
      <c r="C187" s="7"/>
      <c r="D187" s="7"/>
      <c r="E187" s="7"/>
      <c r="F187" s="7"/>
      <c r="G187" s="7"/>
      <c r="H187" s="7"/>
      <c r="I187" s="7"/>
      <c r="J187" s="7">
        <f t="shared" ref="J187" si="202">+I187+G187-H187</f>
        <v>0</v>
      </c>
      <c r="K187" s="7"/>
      <c r="L187" s="7"/>
      <c r="M187" s="7"/>
      <c r="N187" s="7"/>
      <c r="O187" s="7"/>
      <c r="P187" s="7"/>
    </row>
    <row r="188" spans="2:18" x14ac:dyDescent="0.3">
      <c r="B188" s="1" t="s">
        <v>103</v>
      </c>
      <c r="C188" s="17"/>
      <c r="D188" s="17"/>
      <c r="E188" s="17"/>
      <c r="F188" s="17">
        <f>+F178+F179+F180+F183+F186</f>
        <v>13542</v>
      </c>
      <c r="G188" s="17">
        <f>+G178+G179+G180+G183+G186</f>
        <v>19182</v>
      </c>
      <c r="H188" s="17"/>
      <c r="I188" s="17">
        <f t="shared" ref="I188:N188" si="203">+I178+I179+I180+I183+I186</f>
        <v>21599</v>
      </c>
      <c r="J188" s="17">
        <f t="shared" si="203"/>
        <v>21599</v>
      </c>
      <c r="K188" s="17">
        <f t="shared" si="203"/>
        <v>24458.595871601876</v>
      </c>
      <c r="L188" s="17">
        <f t="shared" si="203"/>
        <v>28393.042175818184</v>
      </c>
      <c r="M188" s="17">
        <f t="shared" si="203"/>
        <v>32700.980965546973</v>
      </c>
      <c r="N188" s="17">
        <f t="shared" si="203"/>
        <v>37219.376884205776</v>
      </c>
      <c r="O188" s="17">
        <f t="shared" ref="O188:P188" si="204">+O178+O179+O180+O183+O186</f>
        <v>41655.99669557259</v>
      </c>
      <c r="P188" s="17">
        <f t="shared" si="204"/>
        <v>46339.089092425565</v>
      </c>
    </row>
    <row r="189" spans="2:18" x14ac:dyDescent="0.3">
      <c r="B189" s="31"/>
      <c r="P189" s="52"/>
    </row>
    <row r="190" spans="2:18" x14ac:dyDescent="0.3">
      <c r="B190" s="1" t="s">
        <v>104</v>
      </c>
      <c r="C190" s="18"/>
      <c r="D190" s="18"/>
      <c r="E190" s="18"/>
      <c r="F190" s="18">
        <v>13965</v>
      </c>
      <c r="G190" s="18">
        <v>15491</v>
      </c>
      <c r="H190" s="18"/>
      <c r="I190" s="18">
        <v>15956</v>
      </c>
      <c r="J190" s="20">
        <f t="shared" ref="J190:J194" si="205">I190</f>
        <v>15956</v>
      </c>
      <c r="K190" s="20">
        <f>+G190-K150-K143</f>
        <v>15656</v>
      </c>
      <c r="L190" s="20">
        <f>+K190-L150-L143</f>
        <v>15821</v>
      </c>
      <c r="M190" s="20">
        <f>+L190-M150-M143</f>
        <v>15986</v>
      </c>
      <c r="N190" s="20">
        <f>+M190-N150-N143</f>
        <v>16151</v>
      </c>
      <c r="O190" s="20">
        <f>+N190-O150-O143</f>
        <v>16316</v>
      </c>
      <c r="P190" s="20">
        <f>+O190-P150-P143</f>
        <v>16481</v>
      </c>
      <c r="R190" s="1" t="s">
        <v>156</v>
      </c>
    </row>
    <row r="191" spans="2:18" x14ac:dyDescent="0.3">
      <c r="B191" s="1" t="s">
        <v>105</v>
      </c>
      <c r="C191" s="18"/>
      <c r="D191" s="18"/>
      <c r="E191" s="18"/>
      <c r="F191" s="18">
        <v>1421</v>
      </c>
      <c r="G191" s="18">
        <v>976</v>
      </c>
      <c r="H191" s="18"/>
      <c r="I191" s="18">
        <v>1502</v>
      </c>
      <c r="J191" s="20">
        <f t="shared" si="205"/>
        <v>1502</v>
      </c>
      <c r="K191" s="61">
        <f t="shared" ref="K191:P191" si="206">J191-K151+K129-K143</f>
        <v>1490</v>
      </c>
      <c r="L191" s="48">
        <f t="shared" si="206"/>
        <v>1478</v>
      </c>
      <c r="M191" s="48">
        <f t="shared" si="206"/>
        <v>1466</v>
      </c>
      <c r="N191" s="48">
        <f t="shared" si="206"/>
        <v>1454</v>
      </c>
      <c r="O191" s="48">
        <f t="shared" si="206"/>
        <v>1442</v>
      </c>
      <c r="P191" s="48">
        <f t="shared" si="206"/>
        <v>1430</v>
      </c>
    </row>
    <row r="192" spans="2:18" x14ac:dyDescent="0.3">
      <c r="B192" s="1" t="s">
        <v>106</v>
      </c>
      <c r="C192" s="18"/>
      <c r="D192" s="18"/>
      <c r="E192" s="18"/>
      <c r="F192" s="18">
        <v>12049</v>
      </c>
      <c r="G192" s="18">
        <v>12049</v>
      </c>
      <c r="H192" s="18"/>
      <c r="I192" s="18">
        <v>12049</v>
      </c>
      <c r="J192" s="20">
        <f t="shared" si="205"/>
        <v>12049</v>
      </c>
      <c r="K192" s="48">
        <f>J192</f>
        <v>12049</v>
      </c>
      <c r="L192" s="48">
        <f t="shared" ref="L192:P193" si="207">K192</f>
        <v>12049</v>
      </c>
      <c r="M192" s="48">
        <f t="shared" si="207"/>
        <v>12049</v>
      </c>
      <c r="N192" s="48">
        <f t="shared" si="207"/>
        <v>12049</v>
      </c>
      <c r="O192" s="48">
        <f t="shared" si="207"/>
        <v>12049</v>
      </c>
      <c r="P192" s="48">
        <f t="shared" si="207"/>
        <v>12049</v>
      </c>
      <c r="R192" s="1" t="s">
        <v>155</v>
      </c>
    </row>
    <row r="193" spans="2:18" x14ac:dyDescent="0.3">
      <c r="B193" s="1" t="s">
        <v>107</v>
      </c>
      <c r="C193" s="18"/>
      <c r="D193" s="18"/>
      <c r="E193" s="18"/>
      <c r="F193" s="18">
        <v>5021</v>
      </c>
      <c r="G193" s="18">
        <v>4993</v>
      </c>
      <c r="H193" s="18"/>
      <c r="I193" s="18">
        <v>4983</v>
      </c>
      <c r="J193" s="20">
        <f t="shared" si="205"/>
        <v>4983</v>
      </c>
      <c r="K193" s="48">
        <f>J193</f>
        <v>4983</v>
      </c>
      <c r="L193" s="48">
        <f t="shared" si="207"/>
        <v>4983</v>
      </c>
      <c r="M193" s="48">
        <f t="shared" si="207"/>
        <v>4983</v>
      </c>
      <c r="N193" s="48">
        <f t="shared" si="207"/>
        <v>4983</v>
      </c>
      <c r="O193" s="48">
        <f t="shared" si="207"/>
        <v>4983</v>
      </c>
      <c r="P193" s="48">
        <f t="shared" si="207"/>
        <v>4983</v>
      </c>
      <c r="R193" s="1" t="s">
        <v>155</v>
      </c>
    </row>
    <row r="194" spans="2:18" x14ac:dyDescent="0.3">
      <c r="B194" s="1" t="s">
        <v>80</v>
      </c>
      <c r="C194" s="20"/>
      <c r="D194" s="20"/>
      <c r="E194" s="20"/>
      <c r="F194" s="20">
        <f>+F196-F193-F192-F191-F190-F188</f>
        <v>3860</v>
      </c>
      <c r="G194" s="20">
        <f>+G196-G193-G192-G191-G190-G188</f>
        <v>817</v>
      </c>
      <c r="H194" s="20"/>
      <c r="I194" s="20">
        <f>+I196-I193-I192-I191-I190-I188</f>
        <v>779</v>
      </c>
      <c r="J194" s="20">
        <f t="shared" si="205"/>
        <v>779</v>
      </c>
      <c r="K194" s="48">
        <f t="shared" ref="K194:P194" si="208">J194*102%</f>
        <v>794.58</v>
      </c>
      <c r="L194" s="48">
        <f t="shared" si="208"/>
        <v>810.47160000000008</v>
      </c>
      <c r="M194" s="48">
        <f t="shared" si="208"/>
        <v>826.68103200000007</v>
      </c>
      <c r="N194" s="48">
        <f t="shared" si="208"/>
        <v>843.21465264000005</v>
      </c>
      <c r="O194" s="48">
        <f t="shared" si="208"/>
        <v>860.07894569280006</v>
      </c>
      <c r="P194" s="48">
        <f t="shared" si="208"/>
        <v>877.28052460665606</v>
      </c>
      <c r="R194" s="1" t="s">
        <v>160</v>
      </c>
    </row>
    <row r="195" spans="2:18" ht="3" customHeight="1" x14ac:dyDescent="0.3">
      <c r="C195" s="7"/>
      <c r="D195" s="7"/>
      <c r="E195" s="7"/>
      <c r="F195" s="7"/>
      <c r="G195" s="7"/>
      <c r="H195" s="7"/>
      <c r="I195" s="7"/>
      <c r="J195" s="7"/>
      <c r="K195" s="7"/>
      <c r="L195" s="7"/>
      <c r="M195" s="7"/>
      <c r="N195" s="7"/>
      <c r="O195" s="7"/>
      <c r="P195" s="7"/>
    </row>
    <row r="196" spans="2:18" s="27" customFormat="1" x14ac:dyDescent="0.3">
      <c r="B196" s="27" t="s">
        <v>108</v>
      </c>
      <c r="C196" s="28">
        <v>39336</v>
      </c>
      <c r="D196" s="28">
        <v>35423</v>
      </c>
      <c r="E196" s="28">
        <v>35449</v>
      </c>
      <c r="F196" s="28">
        <v>49858</v>
      </c>
      <c r="G196" s="28">
        <v>53508</v>
      </c>
      <c r="H196" s="28"/>
      <c r="I196" s="28">
        <v>56868</v>
      </c>
      <c r="J196" s="29">
        <f t="shared" ref="J196:P196" si="209">SUM(J190:J195)+J188</f>
        <v>56868</v>
      </c>
      <c r="K196" s="29">
        <f t="shared" si="209"/>
        <v>59431.175871601881</v>
      </c>
      <c r="L196" s="29">
        <f t="shared" si="209"/>
        <v>63534.513775818181</v>
      </c>
      <c r="M196" s="29">
        <f t="shared" si="209"/>
        <v>68011.661997546966</v>
      </c>
      <c r="N196" s="29">
        <f t="shared" si="209"/>
        <v>72699.591536845779</v>
      </c>
      <c r="O196" s="29">
        <f t="shared" si="209"/>
        <v>77306.075641265401</v>
      </c>
      <c r="P196" s="29">
        <f t="shared" si="209"/>
        <v>82159.369617032222</v>
      </c>
    </row>
    <row r="198" spans="2:18" x14ac:dyDescent="0.3">
      <c r="B198" s="1" t="s">
        <v>109</v>
      </c>
      <c r="C198" s="18"/>
      <c r="D198" s="18"/>
      <c r="E198" s="18"/>
      <c r="F198" s="18">
        <v>8566</v>
      </c>
      <c r="G198" s="18">
        <v>9734</v>
      </c>
      <c r="H198" s="18"/>
      <c r="I198" s="18">
        <v>11250</v>
      </c>
      <c r="J198" s="20">
        <f t="shared" ref="J198:J202" si="210">I198</f>
        <v>11250</v>
      </c>
      <c r="K198" s="20">
        <f t="shared" ref="K198:P198" si="211">-K96*K199/365</f>
        <v>12007.181643823149</v>
      </c>
      <c r="L198" s="20">
        <f t="shared" si="211"/>
        <v>13560.210492534463</v>
      </c>
      <c r="M198" s="20">
        <f t="shared" si="211"/>
        <v>15126.244992198022</v>
      </c>
      <c r="N198" s="20">
        <f t="shared" si="211"/>
        <v>16736.972446112435</v>
      </c>
      <c r="O198" s="20">
        <f t="shared" si="211"/>
        <v>17990.752185749669</v>
      </c>
      <c r="P198" s="20">
        <f t="shared" si="211"/>
        <v>19341.779002682913</v>
      </c>
    </row>
    <row r="199" spans="2:18" x14ac:dyDescent="0.3">
      <c r="B199" s="31" t="s">
        <v>144</v>
      </c>
      <c r="F199" s="59">
        <f>F198/-F96*365</f>
        <v>66.884653232362126</v>
      </c>
      <c r="G199" s="59">
        <f>G198/-G96*365</f>
        <v>64.224692697035437</v>
      </c>
      <c r="J199" s="59">
        <f>J198/-J96*365</f>
        <v>71.196358907672291</v>
      </c>
      <c r="K199" s="60">
        <f t="shared" ref="K199:P199" si="212">J199</f>
        <v>71.196358907672291</v>
      </c>
      <c r="L199" s="60">
        <f t="shared" si="212"/>
        <v>71.196358907672291</v>
      </c>
      <c r="M199" s="60">
        <f t="shared" si="212"/>
        <v>71.196358907672291</v>
      </c>
      <c r="N199" s="60">
        <f t="shared" si="212"/>
        <v>71.196358907672291</v>
      </c>
      <c r="O199" s="60">
        <f t="shared" si="212"/>
        <v>71.196358907672291</v>
      </c>
      <c r="P199" s="60">
        <f t="shared" si="212"/>
        <v>71.196358907672291</v>
      </c>
      <c r="R199" s="1" t="s">
        <v>155</v>
      </c>
    </row>
    <row r="200" spans="2:18" ht="3" customHeight="1" x14ac:dyDescent="0.3"/>
    <row r="201" spans="2:18" x14ac:dyDescent="0.3">
      <c r="B201" s="1" t="s">
        <v>110</v>
      </c>
      <c r="C201" s="18"/>
      <c r="D201" s="18"/>
      <c r="E201" s="18"/>
      <c r="F201" s="18">
        <v>281</v>
      </c>
      <c r="G201" s="18">
        <v>614</v>
      </c>
      <c r="H201" s="18"/>
      <c r="I201" s="18">
        <v>530</v>
      </c>
      <c r="J201" s="20">
        <f t="shared" si="210"/>
        <v>530</v>
      </c>
      <c r="K201" s="48">
        <f>J201</f>
        <v>530</v>
      </c>
      <c r="L201" s="48">
        <f t="shared" ref="L201:P201" si="213">K201</f>
        <v>530</v>
      </c>
      <c r="M201" s="48">
        <f t="shared" si="213"/>
        <v>530</v>
      </c>
      <c r="N201" s="48">
        <f t="shared" si="213"/>
        <v>530</v>
      </c>
      <c r="O201" s="48">
        <f t="shared" si="213"/>
        <v>530</v>
      </c>
      <c r="P201" s="48">
        <f t="shared" si="213"/>
        <v>530</v>
      </c>
      <c r="R201" s="1" t="s">
        <v>155</v>
      </c>
    </row>
    <row r="202" spans="2:18" x14ac:dyDescent="0.3">
      <c r="B202" s="1" t="s">
        <v>80</v>
      </c>
      <c r="C202" s="18"/>
      <c r="D202" s="18"/>
      <c r="E202" s="18"/>
      <c r="F202" s="18">
        <f>7710+1171+73</f>
        <v>8954</v>
      </c>
      <c r="G202" s="18">
        <f>8528+862+71</f>
        <v>9461</v>
      </c>
      <c r="H202" s="18"/>
      <c r="I202" s="18">
        <f>9180+1268+96</f>
        <v>10544</v>
      </c>
      <c r="J202" s="20">
        <f t="shared" si="210"/>
        <v>10544</v>
      </c>
      <c r="K202" s="48">
        <f t="shared" ref="K202:P202" si="214">J202*102%</f>
        <v>10754.880000000001</v>
      </c>
      <c r="L202" s="48">
        <f t="shared" si="214"/>
        <v>10969.977600000002</v>
      </c>
      <c r="M202" s="48">
        <f t="shared" si="214"/>
        <v>11189.377152000003</v>
      </c>
      <c r="N202" s="48">
        <f t="shared" si="214"/>
        <v>11413.164695040003</v>
      </c>
      <c r="O202" s="48">
        <f t="shared" si="214"/>
        <v>11641.427988940803</v>
      </c>
      <c r="P202" s="48">
        <f t="shared" si="214"/>
        <v>11874.256548719619</v>
      </c>
      <c r="R202" s="1" t="s">
        <v>160</v>
      </c>
    </row>
    <row r="203" spans="2:18" ht="3" customHeight="1" x14ac:dyDescent="0.3">
      <c r="C203" s="7"/>
      <c r="D203" s="7"/>
      <c r="E203" s="7"/>
      <c r="F203" s="7"/>
      <c r="G203" s="7"/>
      <c r="H203" s="7"/>
      <c r="I203" s="7"/>
      <c r="J203" s="7">
        <f t="shared" ref="J203" si="215">+I203+G203-H203</f>
        <v>0</v>
      </c>
      <c r="K203" s="7"/>
      <c r="L203" s="7"/>
      <c r="M203" s="7"/>
      <c r="N203" s="7"/>
      <c r="O203" s="7"/>
      <c r="P203" s="7"/>
    </row>
    <row r="204" spans="2:18" x14ac:dyDescent="0.3">
      <c r="B204" s="1" t="s">
        <v>111</v>
      </c>
      <c r="C204" s="17"/>
      <c r="D204" s="17"/>
      <c r="E204" s="17"/>
      <c r="F204" s="17">
        <f>+F198+F201+F202</f>
        <v>17801</v>
      </c>
      <c r="G204" s="17">
        <f>+G198+G201+G202</f>
        <v>19809</v>
      </c>
      <c r="H204" s="17"/>
      <c r="I204" s="17">
        <f t="shared" ref="I204:N204" si="216">+I198+I201+I202</f>
        <v>22324</v>
      </c>
      <c r="J204" s="17">
        <f t="shared" si="216"/>
        <v>22324</v>
      </c>
      <c r="K204" s="17">
        <f t="shared" si="216"/>
        <v>23292.061643823152</v>
      </c>
      <c r="L204" s="17">
        <f t="shared" si="216"/>
        <v>25060.188092534467</v>
      </c>
      <c r="M204" s="17">
        <f t="shared" si="216"/>
        <v>26845.622144198023</v>
      </c>
      <c r="N204" s="17">
        <f t="shared" si="216"/>
        <v>28680.137141152438</v>
      </c>
      <c r="O204" s="17">
        <f t="shared" ref="O204:P204" si="217">+O198+O201+O202</f>
        <v>30162.180174690471</v>
      </c>
      <c r="P204" s="17">
        <f t="shared" si="217"/>
        <v>31746.035551402532</v>
      </c>
    </row>
    <row r="206" spans="2:18" x14ac:dyDescent="0.3">
      <c r="B206" s="1" t="s">
        <v>112</v>
      </c>
      <c r="C206" s="18"/>
      <c r="D206" s="18"/>
      <c r="E206" s="18"/>
      <c r="F206" s="18">
        <v>13087</v>
      </c>
      <c r="G206" s="18">
        <v>12969</v>
      </c>
      <c r="H206" s="18"/>
      <c r="I206" s="18">
        <v>12855</v>
      </c>
      <c r="J206" s="20">
        <f t="shared" ref="J206:J207" si="218">I206</f>
        <v>12855</v>
      </c>
      <c r="K206" s="62">
        <f t="shared" ref="K206:P206" si="219">+J206+K158</f>
        <v>12355</v>
      </c>
      <c r="L206" s="62">
        <f t="shared" si="219"/>
        <v>11855</v>
      </c>
      <c r="M206" s="62">
        <f t="shared" si="219"/>
        <v>11355</v>
      </c>
      <c r="N206" s="62">
        <f t="shared" si="219"/>
        <v>10855</v>
      </c>
      <c r="O206" s="62">
        <f t="shared" si="219"/>
        <v>10355</v>
      </c>
      <c r="P206" s="62">
        <f t="shared" si="219"/>
        <v>9855</v>
      </c>
    </row>
    <row r="207" spans="2:18" x14ac:dyDescent="0.3">
      <c r="B207" s="1" t="s">
        <v>80</v>
      </c>
      <c r="C207" s="18"/>
      <c r="D207" s="18"/>
      <c r="E207" s="18"/>
      <c r="F207" s="18">
        <f>12727+653+774</f>
        <v>14154</v>
      </c>
      <c r="G207" s="18">
        <f>15519+822+815</f>
        <v>17156</v>
      </c>
      <c r="H207" s="18"/>
      <c r="I207" s="18">
        <f>13983+1073+776</f>
        <v>15832</v>
      </c>
      <c r="J207" s="20">
        <f t="shared" si="218"/>
        <v>15832</v>
      </c>
      <c r="K207" s="48">
        <f t="shared" ref="K207:P207" si="220">J207*102%</f>
        <v>16148.64</v>
      </c>
      <c r="L207" s="48">
        <f t="shared" si="220"/>
        <v>16471.612799999999</v>
      </c>
      <c r="M207" s="48">
        <f t="shared" si="220"/>
        <v>16801.045055999999</v>
      </c>
      <c r="N207" s="48">
        <f t="shared" si="220"/>
        <v>17137.065957119998</v>
      </c>
      <c r="O207" s="48">
        <f t="shared" si="220"/>
        <v>17479.8072762624</v>
      </c>
      <c r="P207" s="48">
        <f t="shared" si="220"/>
        <v>17829.403421787647</v>
      </c>
      <c r="R207" s="1" t="s">
        <v>160</v>
      </c>
    </row>
    <row r="208" spans="2:18" ht="3" customHeight="1" x14ac:dyDescent="0.3">
      <c r="C208" s="7"/>
      <c r="D208" s="7"/>
      <c r="E208" s="7"/>
      <c r="F208" s="7"/>
      <c r="G208" s="7"/>
      <c r="H208" s="7"/>
      <c r="I208" s="7"/>
      <c r="J208" s="7">
        <f t="shared" ref="J208" si="221">+I208+G208-H208</f>
        <v>0</v>
      </c>
      <c r="K208" s="7"/>
      <c r="L208" s="7"/>
      <c r="M208" s="7"/>
      <c r="N208" s="7"/>
      <c r="O208" s="7"/>
      <c r="P208" s="7"/>
    </row>
    <row r="209" spans="2:18" s="27" customFormat="1" x14ac:dyDescent="0.3">
      <c r="B209" s="27" t="s">
        <v>113</v>
      </c>
      <c r="C209" s="30">
        <f>+C196-C214</f>
        <v>55233</v>
      </c>
      <c r="D209" s="30">
        <f>+D196-D214</f>
        <v>39653</v>
      </c>
      <c r="E209" s="30">
        <f>+E196-E214</f>
        <v>39938</v>
      </c>
      <c r="F209" s="30">
        <f>+F204+SUM(F206:F208)</f>
        <v>45042</v>
      </c>
      <c r="G209" s="30">
        <f>+G204+SUM(G206:G208)</f>
        <v>49934</v>
      </c>
      <c r="H209" s="30"/>
      <c r="I209" s="30">
        <f t="shared" ref="I209:O209" si="222">+I204+SUM(I206:I208)</f>
        <v>51011</v>
      </c>
      <c r="J209" s="30">
        <f t="shared" si="222"/>
        <v>51011</v>
      </c>
      <c r="K209" s="30">
        <f t="shared" si="222"/>
        <v>51795.701643823151</v>
      </c>
      <c r="L209" s="30">
        <f t="shared" si="222"/>
        <v>53386.800892534462</v>
      </c>
      <c r="M209" s="30">
        <f t="shared" si="222"/>
        <v>55001.667200198019</v>
      </c>
      <c r="N209" s="30">
        <f t="shared" si="222"/>
        <v>56672.203098272439</v>
      </c>
      <c r="O209" s="30">
        <f t="shared" si="222"/>
        <v>57996.987450952874</v>
      </c>
      <c r="P209" s="30">
        <f t="shared" ref="P209" si="223">+P204+SUM(P206:P208)</f>
        <v>59430.438973190176</v>
      </c>
    </row>
    <row r="210" spans="2:18" x14ac:dyDescent="0.3">
      <c r="F210" s="25"/>
      <c r="G210" s="25"/>
      <c r="J210" s="25"/>
    </row>
    <row r="211" spans="2:18" hidden="1" outlineLevel="1" x14ac:dyDescent="0.3">
      <c r="B211" s="1" t="s">
        <v>114</v>
      </c>
      <c r="C211" s="18"/>
      <c r="D211" s="18"/>
      <c r="E211" s="18"/>
      <c r="F211" s="18">
        <v>2799</v>
      </c>
      <c r="G211" s="18">
        <v>2217</v>
      </c>
      <c r="H211" s="18"/>
      <c r="I211" s="18">
        <v>3519</v>
      </c>
      <c r="J211" s="20">
        <f t="shared" ref="J211:J212" si="224">I211</f>
        <v>3519</v>
      </c>
      <c r="K211" s="20"/>
      <c r="L211" s="20"/>
      <c r="M211" s="20"/>
      <c r="N211" s="20"/>
      <c r="O211" s="20"/>
      <c r="P211" s="20"/>
    </row>
    <row r="212" spans="2:18" hidden="1" outlineLevel="1" x14ac:dyDescent="0.3">
      <c r="B212" s="1" t="s">
        <v>84</v>
      </c>
      <c r="C212" s="18"/>
      <c r="D212" s="18"/>
      <c r="E212" s="18"/>
      <c r="F212" s="18">
        <v>2017</v>
      </c>
      <c r="G212" s="18">
        <v>1357</v>
      </c>
      <c r="H212" s="18"/>
      <c r="I212" s="18">
        <v>2338</v>
      </c>
      <c r="J212" s="20">
        <f t="shared" si="224"/>
        <v>2338</v>
      </c>
      <c r="K212" s="20"/>
      <c r="L212" s="20"/>
      <c r="M212" s="20"/>
      <c r="N212" s="20"/>
      <c r="O212" s="20"/>
      <c r="P212" s="20"/>
    </row>
    <row r="213" spans="2:18" ht="3" hidden="1" customHeight="1" outlineLevel="1" x14ac:dyDescent="0.3">
      <c r="C213" s="7"/>
      <c r="D213" s="7"/>
      <c r="E213" s="7"/>
      <c r="F213" s="7"/>
      <c r="G213" s="7"/>
      <c r="H213" s="7"/>
      <c r="I213" s="7"/>
      <c r="J213" s="7"/>
      <c r="K213" s="7"/>
      <c r="L213" s="7"/>
      <c r="M213" s="7"/>
      <c r="N213" s="7"/>
      <c r="O213" s="7"/>
      <c r="P213" s="7"/>
    </row>
    <row r="214" spans="2:18" s="27" customFormat="1" collapsed="1" x14ac:dyDescent="0.3">
      <c r="B214" s="27" t="s">
        <v>114</v>
      </c>
      <c r="C214" s="28">
        <v>-15897</v>
      </c>
      <c r="D214" s="28">
        <v>-4230</v>
      </c>
      <c r="E214" s="28">
        <v>-4489</v>
      </c>
      <c r="F214" s="30">
        <f t="shared" ref="F214:J214" si="225">SUM(F211:F213)</f>
        <v>4816</v>
      </c>
      <c r="G214" s="30">
        <f t="shared" si="225"/>
        <v>3574</v>
      </c>
      <c r="H214" s="30"/>
      <c r="I214" s="30">
        <f t="shared" si="225"/>
        <v>5857</v>
      </c>
      <c r="J214" s="30">
        <f t="shared" si="225"/>
        <v>5857</v>
      </c>
      <c r="K214" s="29">
        <f t="shared" ref="K214:P214" si="226">K196-K209</f>
        <v>7635.47422777873</v>
      </c>
      <c r="L214" s="29">
        <f t="shared" si="226"/>
        <v>10147.712883283719</v>
      </c>
      <c r="M214" s="29">
        <f t="shared" si="226"/>
        <v>13009.994797348947</v>
      </c>
      <c r="N214" s="29">
        <f t="shared" si="226"/>
        <v>16027.38843857334</v>
      </c>
      <c r="O214" s="29">
        <f t="shared" si="226"/>
        <v>19309.088190312526</v>
      </c>
      <c r="P214" s="29">
        <f t="shared" si="226"/>
        <v>22728.930643842046</v>
      </c>
    </row>
    <row r="216" spans="2:18" s="27" customFormat="1" x14ac:dyDescent="0.3">
      <c r="B216" s="27" t="s">
        <v>115</v>
      </c>
      <c r="C216" s="30">
        <f>+C209+C214</f>
        <v>39336</v>
      </c>
      <c r="D216" s="30">
        <f t="shared" ref="D216:N216" si="227">+D209+D214</f>
        <v>35423</v>
      </c>
      <c r="E216" s="30">
        <f t="shared" si="227"/>
        <v>35449</v>
      </c>
      <c r="F216" s="30">
        <f t="shared" si="227"/>
        <v>49858</v>
      </c>
      <c r="G216" s="30">
        <f t="shared" si="227"/>
        <v>53508</v>
      </c>
      <c r="H216" s="30"/>
      <c r="I216" s="30">
        <f t="shared" si="227"/>
        <v>56868</v>
      </c>
      <c r="J216" s="30">
        <f t="shared" si="227"/>
        <v>56868</v>
      </c>
      <c r="K216" s="30">
        <f t="shared" si="227"/>
        <v>59431.175871601881</v>
      </c>
      <c r="L216" s="30">
        <f t="shared" si="227"/>
        <v>63534.513775818181</v>
      </c>
      <c r="M216" s="30">
        <f t="shared" si="227"/>
        <v>68011.661997546966</v>
      </c>
      <c r="N216" s="30">
        <f t="shared" si="227"/>
        <v>72699.591536845779</v>
      </c>
      <c r="O216" s="30">
        <f t="shared" ref="O216:P216" si="228">+O209+O214</f>
        <v>77306.075641265401</v>
      </c>
      <c r="P216" s="30">
        <f t="shared" si="228"/>
        <v>82159.369617032222</v>
      </c>
    </row>
    <row r="218" spans="2:18" s="3" customFormat="1" ht="20.25" customHeight="1" x14ac:dyDescent="0.45">
      <c r="B218" s="11" t="s">
        <v>125</v>
      </c>
      <c r="C218" s="4"/>
      <c r="D218" s="4"/>
      <c r="E218" s="4"/>
      <c r="F218" s="4"/>
      <c r="G218" s="4"/>
      <c r="H218" s="13"/>
      <c r="I218" s="13"/>
      <c r="J218" s="13"/>
      <c r="K218" s="13"/>
      <c r="L218" s="13"/>
      <c r="M218" s="13"/>
      <c r="N218" s="13"/>
      <c r="O218" s="13"/>
      <c r="P218" s="44"/>
    </row>
    <row r="219" spans="2:18" x14ac:dyDescent="0.3">
      <c r="B219" s="1" t="s">
        <v>126</v>
      </c>
      <c r="F219" s="17">
        <f>+F201+F206</f>
        <v>13368</v>
      </c>
      <c r="G219" s="17">
        <f>+G201+G206</f>
        <v>13583</v>
      </c>
      <c r="H219" s="17"/>
      <c r="I219" s="17">
        <f t="shared" ref="I219:P219" si="229">+I201+I206</f>
        <v>13385</v>
      </c>
      <c r="J219" s="17">
        <f t="shared" si="229"/>
        <v>13385</v>
      </c>
      <c r="K219" s="17">
        <f t="shared" si="229"/>
        <v>12885</v>
      </c>
      <c r="L219" s="17">
        <f t="shared" si="229"/>
        <v>12385</v>
      </c>
      <c r="M219" s="17">
        <f t="shared" si="229"/>
        <v>11885</v>
      </c>
      <c r="N219" s="17">
        <f t="shared" si="229"/>
        <v>11385</v>
      </c>
      <c r="O219" s="17">
        <f t="shared" si="229"/>
        <v>10885</v>
      </c>
      <c r="P219" s="17">
        <f t="shared" si="229"/>
        <v>10385</v>
      </c>
    </row>
    <row r="220" spans="2:18" x14ac:dyDescent="0.3">
      <c r="B220" s="1" t="s">
        <v>99</v>
      </c>
      <c r="F220" s="17">
        <f>-F178</f>
        <v>-9601</v>
      </c>
      <c r="G220" s="17">
        <f>-G178</f>
        <v>-11834</v>
      </c>
      <c r="H220" s="17"/>
      <c r="I220" s="17">
        <f t="shared" ref="I220:P220" si="230">-I178</f>
        <v>-11781</v>
      </c>
      <c r="J220" s="17">
        <f t="shared" si="230"/>
        <v>-11781</v>
      </c>
      <c r="K220" s="17">
        <f t="shared" si="230"/>
        <v>-14054.993711948</v>
      </c>
      <c r="L220" s="17">
        <f t="shared" si="230"/>
        <v>-16822.932787604004</v>
      </c>
      <c r="M220" s="17">
        <f t="shared" si="230"/>
        <v>-19955.138158729093</v>
      </c>
      <c r="N220" s="17">
        <f t="shared" si="230"/>
        <v>-23268.980505196225</v>
      </c>
      <c r="O220" s="17">
        <f t="shared" si="230"/>
        <v>-26759.553415765426</v>
      </c>
      <c r="P220" s="17">
        <f t="shared" si="230"/>
        <v>-30425.269248773715</v>
      </c>
    </row>
    <row r="221" spans="2:18" x14ac:dyDescent="0.3">
      <c r="B221" s="1" t="s">
        <v>80</v>
      </c>
      <c r="F221" s="18">
        <v>-41</v>
      </c>
      <c r="G221" s="18">
        <v>0</v>
      </c>
      <c r="I221" s="18">
        <v>0</v>
      </c>
      <c r="J221" s="18">
        <v>0</v>
      </c>
      <c r="K221" s="48">
        <v>0</v>
      </c>
      <c r="L221" s="48">
        <v>0</v>
      </c>
      <c r="M221" s="48">
        <v>0</v>
      </c>
      <c r="N221" s="48">
        <v>0</v>
      </c>
      <c r="O221" s="48">
        <v>0</v>
      </c>
      <c r="P221" s="48">
        <v>0</v>
      </c>
      <c r="R221" s="1" t="s">
        <v>149</v>
      </c>
    </row>
    <row r="222" spans="2:18" ht="3" customHeight="1" x14ac:dyDescent="0.3">
      <c r="C222" s="7"/>
      <c r="D222" s="7"/>
      <c r="E222" s="7"/>
      <c r="F222" s="7"/>
      <c r="G222" s="7"/>
      <c r="H222" s="7"/>
      <c r="I222" s="7"/>
      <c r="J222" s="7"/>
      <c r="K222" s="7"/>
      <c r="L222" s="7"/>
      <c r="M222" s="7"/>
      <c r="N222" s="7"/>
      <c r="O222" s="7"/>
      <c r="P222" s="7"/>
    </row>
    <row r="223" spans="2:18" x14ac:dyDescent="0.3">
      <c r="B223" s="1" t="s">
        <v>127</v>
      </c>
      <c r="F223" s="17">
        <f t="shared" ref="F223:I223" si="231">SUM(F219:F222)</f>
        <v>3726</v>
      </c>
      <c r="G223" s="17">
        <f t="shared" si="231"/>
        <v>1749</v>
      </c>
      <c r="H223" s="17"/>
      <c r="I223" s="17">
        <f t="shared" si="231"/>
        <v>1604</v>
      </c>
      <c r="J223" s="17">
        <f t="shared" ref="J223" si="232">SUM(J219:J222)</f>
        <v>1604</v>
      </c>
      <c r="K223" s="17">
        <f t="shared" ref="K223" si="233">SUM(K219:K222)</f>
        <v>-1169.9937119480001</v>
      </c>
      <c r="L223" s="17">
        <f t="shared" ref="L223" si="234">SUM(L219:L222)</f>
        <v>-4437.9327876040043</v>
      </c>
      <c r="M223" s="17">
        <f t="shared" ref="M223" si="235">SUM(M219:M222)</f>
        <v>-8070.1381587290925</v>
      </c>
      <c r="N223" s="17">
        <f t="shared" ref="N223:O223" si="236">SUM(N219:N222)</f>
        <v>-11883.980505196225</v>
      </c>
      <c r="O223" s="17">
        <f t="shared" si="236"/>
        <v>-15874.553415765426</v>
      </c>
      <c r="P223" s="17">
        <f t="shared" ref="P223" si="237">SUM(P219:P222)</f>
        <v>-20040.269248773715</v>
      </c>
    </row>
    <row r="224" spans="2:18" s="19" customFormat="1" x14ac:dyDescent="0.3">
      <c r="B224" s="31" t="s">
        <v>128</v>
      </c>
      <c r="F224" s="35">
        <f>F223/F134</f>
        <v>0.83262569832402233</v>
      </c>
      <c r="G224" s="35">
        <f>G223/G134</f>
        <v>0.31968561506123194</v>
      </c>
      <c r="I224" s="35">
        <f t="shared" ref="I224:P224" si="238">I223/I134</f>
        <v>0.38884848484848483</v>
      </c>
      <c r="J224" s="35">
        <f t="shared" si="238"/>
        <v>0.29361156873512723</v>
      </c>
      <c r="K224" s="35">
        <f t="shared" si="238"/>
        <v>-0.19335472658478098</v>
      </c>
      <c r="L224" s="35">
        <f t="shared" si="238"/>
        <v>-0.65789805210920382</v>
      </c>
      <c r="M224" s="35">
        <f t="shared" si="238"/>
        <v>-1.0893485869103532</v>
      </c>
      <c r="N224" s="35">
        <f t="shared" si="238"/>
        <v>-1.5024789704562254</v>
      </c>
      <c r="O224" s="35">
        <f t="shared" si="238"/>
        <v>-1.9126346364972955</v>
      </c>
      <c r="P224" s="35">
        <f t="shared" si="238"/>
        <v>-2.2981014094544281</v>
      </c>
    </row>
    <row r="225" spans="2:16" x14ac:dyDescent="0.3">
      <c r="P225" s="52"/>
    </row>
    <row r="227" spans="2:16" s="3" customFormat="1" ht="20.25" customHeight="1" x14ac:dyDescent="0.45">
      <c r="B227" s="11" t="s">
        <v>158</v>
      </c>
      <c r="C227" s="4"/>
      <c r="D227" s="4"/>
      <c r="E227" s="4"/>
      <c r="F227" s="4"/>
      <c r="G227" s="4"/>
      <c r="H227" s="13"/>
      <c r="I227" s="13"/>
      <c r="J227" s="13"/>
      <c r="K227" s="13"/>
      <c r="L227" s="13"/>
      <c r="M227" s="13"/>
      <c r="N227" s="13"/>
      <c r="O227" s="13"/>
      <c r="P227" s="13"/>
    </row>
    <row r="228" spans="2:16" x14ac:dyDescent="0.3">
      <c r="B228" s="1" t="s">
        <v>159</v>
      </c>
      <c r="C228" s="24" t="b">
        <f>C196=C216</f>
        <v>1</v>
      </c>
      <c r="D228" s="24" t="b">
        <f>D196=D216</f>
        <v>1</v>
      </c>
      <c r="E228" s="24" t="b">
        <f>E196=E216</f>
        <v>1</v>
      </c>
      <c r="F228" s="24" t="b">
        <f>F196=F216</f>
        <v>1</v>
      </c>
      <c r="G228" s="24" t="b">
        <f>G196=G216</f>
        <v>1</v>
      </c>
      <c r="I228" s="24" t="b">
        <f t="shared" ref="I228:P228" si="239">I196=I216</f>
        <v>1</v>
      </c>
      <c r="J228" s="24" t="b">
        <f t="shared" si="239"/>
        <v>1</v>
      </c>
      <c r="K228" s="24" t="b">
        <f t="shared" si="239"/>
        <v>1</v>
      </c>
      <c r="L228" s="24" t="b">
        <f t="shared" si="239"/>
        <v>1</v>
      </c>
      <c r="M228" s="24" t="b">
        <f t="shared" si="239"/>
        <v>1</v>
      </c>
      <c r="N228" s="24" t="b">
        <f t="shared" si="239"/>
        <v>1</v>
      </c>
      <c r="O228" s="24" t="b">
        <f t="shared" si="239"/>
        <v>1</v>
      </c>
      <c r="P228" s="24" t="b">
        <f t="shared" si="239"/>
        <v>1</v>
      </c>
    </row>
    <row r="229" spans="2:16" x14ac:dyDescent="0.3">
      <c r="B229" s="1" t="s">
        <v>157</v>
      </c>
      <c r="C229" s="17"/>
      <c r="D229" s="17">
        <f>+D214-C214</f>
        <v>11667</v>
      </c>
      <c r="E229" s="17">
        <f>+E214-D214</f>
        <v>-259</v>
      </c>
      <c r="F229" s="17">
        <f>+F214-E214</f>
        <v>9305</v>
      </c>
      <c r="G229" s="17">
        <f>+G214-F214</f>
        <v>-1242</v>
      </c>
      <c r="K229" s="17">
        <f>+K214-G214</f>
        <v>4061.47422777873</v>
      </c>
      <c r="L229" s="17">
        <f>+L214-K214</f>
        <v>2512.2386555049889</v>
      </c>
      <c r="M229" s="17">
        <f>+M214-L214</f>
        <v>2862.2819140652282</v>
      </c>
      <c r="N229" s="17">
        <f>+N214-M214</f>
        <v>3017.3936412243929</v>
      </c>
      <c r="O229" s="17">
        <f>+O214-N214</f>
        <v>3281.6997517391865</v>
      </c>
      <c r="P229" s="17">
        <f>+P214-O214</f>
        <v>3419.8424535295198</v>
      </c>
    </row>
    <row r="230" spans="2:16" x14ac:dyDescent="0.3">
      <c r="B230" s="1" t="s">
        <v>83</v>
      </c>
      <c r="C230" s="17"/>
      <c r="D230" s="17">
        <f>+D119</f>
        <v>-8210</v>
      </c>
      <c r="E230" s="17">
        <f>+E119</f>
        <v>-652</v>
      </c>
      <c r="F230" s="17">
        <f>+F119</f>
        <v>-37</v>
      </c>
      <c r="G230" s="17">
        <f>+G119</f>
        <v>1805</v>
      </c>
      <c r="K230" s="17">
        <f t="shared" ref="K230:P230" si="240">+K119</f>
        <v>1995.9937119480003</v>
      </c>
      <c r="L230" s="17">
        <f t="shared" si="240"/>
        <v>2542.9390756560024</v>
      </c>
      <c r="M230" s="17">
        <f t="shared" si="240"/>
        <v>2907.2053711250874</v>
      </c>
      <c r="N230" s="17">
        <f t="shared" si="240"/>
        <v>3088.8423464671332</v>
      </c>
      <c r="O230" s="17">
        <f t="shared" si="240"/>
        <v>3265.5729105692017</v>
      </c>
      <c r="P230" s="17">
        <f t="shared" si="240"/>
        <v>3440.7158330082875</v>
      </c>
    </row>
    <row r="231" spans="2:16" x14ac:dyDescent="0.3">
      <c r="P231" s="52"/>
    </row>
  </sheetData>
  <pageMargins left="0.7" right="0.7" top="0.75" bottom="0.75" header="0.3" footer="0.3"/>
  <pageSetup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79"/>
  <sheetViews>
    <sheetView view="pageBreakPreview" zoomScaleNormal="100" zoomScaleSheetLayoutView="100" workbookViewId="0"/>
  </sheetViews>
  <sheetFormatPr defaultRowHeight="13.5" x14ac:dyDescent="0.3"/>
  <cols>
    <col min="1" max="1" width="1.625" style="1" customWidth="1"/>
    <col min="2" max="2" width="30.5" style="1" customWidth="1"/>
    <col min="3" max="9" width="12.375" style="1" customWidth="1"/>
    <col min="10" max="10" width="1.625" style="1" customWidth="1"/>
    <col min="11" max="11" width="49.5" style="1" customWidth="1"/>
    <col min="12" max="13" width="1.625" style="1" customWidth="1"/>
    <col min="14" max="16384" width="9" style="1"/>
  </cols>
  <sheetData>
    <row r="2" spans="2:11" x14ac:dyDescent="0.3">
      <c r="B2" s="2" t="s">
        <v>225</v>
      </c>
      <c r="C2" s="2"/>
      <c r="D2" s="2"/>
      <c r="E2" s="2"/>
      <c r="F2" s="2"/>
      <c r="G2" s="2"/>
      <c r="H2" s="2"/>
      <c r="I2" s="2"/>
      <c r="J2" s="2"/>
      <c r="K2" s="2"/>
    </row>
    <row r="3" spans="2:11" s="3" customFormat="1" ht="20.25" customHeight="1" x14ac:dyDescent="0.45">
      <c r="C3" s="44" t="s">
        <v>135</v>
      </c>
      <c r="D3" s="44" t="s">
        <v>132</v>
      </c>
      <c r="E3" s="44" t="s">
        <v>133</v>
      </c>
      <c r="F3" s="44" t="s">
        <v>134</v>
      </c>
      <c r="G3" s="44" t="s">
        <v>184</v>
      </c>
      <c r="H3" s="44" t="s">
        <v>224</v>
      </c>
      <c r="I3" s="44" t="s">
        <v>183</v>
      </c>
      <c r="K3" s="3" t="s">
        <v>152</v>
      </c>
    </row>
    <row r="4" spans="2:11" s="27" customFormat="1" x14ac:dyDescent="0.3">
      <c r="B4" s="1" t="s">
        <v>226</v>
      </c>
      <c r="C4" s="127">
        <v>0</v>
      </c>
      <c r="D4" s="127">
        <v>1</v>
      </c>
      <c r="E4" s="127">
        <v>2</v>
      </c>
      <c r="F4" s="127">
        <v>3</v>
      </c>
      <c r="G4" s="127">
        <v>4</v>
      </c>
      <c r="H4" s="127">
        <v>5</v>
      </c>
      <c r="I4" s="64"/>
    </row>
    <row r="6" spans="2:11" x14ac:dyDescent="0.3">
      <c r="B6" s="1" t="s">
        <v>227</v>
      </c>
      <c r="C6" s="120">
        <f>Financials!K137</f>
        <v>3351.022039200001</v>
      </c>
      <c r="D6" s="20">
        <f>Financials!L137</f>
        <v>4045.6238445700037</v>
      </c>
      <c r="E6" s="20">
        <f>Financials!M137</f>
        <v>4708.2238281667833</v>
      </c>
      <c r="F6" s="20">
        <f>Financials!N137</f>
        <v>5209.5819235244762</v>
      </c>
      <c r="G6" s="20">
        <f>Financials!O137</f>
        <v>5599.8357934358537</v>
      </c>
      <c r="H6" s="20">
        <f>Financials!P137</f>
        <v>6020.3589738589035</v>
      </c>
    </row>
    <row r="7" spans="2:11" x14ac:dyDescent="0.3">
      <c r="B7" s="1" t="s">
        <v>138</v>
      </c>
      <c r="C7" s="121">
        <f>Financials!K117</f>
        <v>0.185</v>
      </c>
      <c r="D7" s="103">
        <f>Financials!L117</f>
        <v>0.2</v>
      </c>
      <c r="E7" s="103">
        <f>Financials!M117</f>
        <v>0.25</v>
      </c>
      <c r="F7" s="103">
        <f>Financials!N117</f>
        <v>0.3</v>
      </c>
      <c r="G7" s="103">
        <f>Financials!O117</f>
        <v>0.32500000000000001</v>
      </c>
      <c r="H7" s="103">
        <f>Financials!P117</f>
        <v>0.35</v>
      </c>
    </row>
    <row r="8" spans="2:11" x14ac:dyDescent="0.3">
      <c r="B8" s="1" t="s">
        <v>230</v>
      </c>
      <c r="C8" s="120">
        <f>-C6*C7</f>
        <v>-619.93907725200017</v>
      </c>
      <c r="D8" s="20">
        <f>-D6*D7</f>
        <v>-809.12476891400081</v>
      </c>
      <c r="E8" s="20">
        <f t="shared" ref="E8:H8" si="0">-E6*E7</f>
        <v>-1177.0559570416958</v>
      </c>
      <c r="F8" s="20">
        <f t="shared" si="0"/>
        <v>-1562.8745770573428</v>
      </c>
      <c r="G8" s="20">
        <f t="shared" si="0"/>
        <v>-1819.9466328666524</v>
      </c>
      <c r="H8" s="20">
        <f t="shared" si="0"/>
        <v>-2107.125640850616</v>
      </c>
    </row>
    <row r="9" spans="2:11" x14ac:dyDescent="0.3">
      <c r="B9" s="1" t="s">
        <v>231</v>
      </c>
      <c r="C9" s="120">
        <f>+C6+C8</f>
        <v>2731.082961948001</v>
      </c>
      <c r="D9" s="17">
        <f>+D6+D8</f>
        <v>3236.4990756560028</v>
      </c>
      <c r="E9" s="17">
        <f t="shared" ref="E9:H9" si="1">+E6+E8</f>
        <v>3531.1678711250875</v>
      </c>
      <c r="F9" s="17">
        <f t="shared" si="1"/>
        <v>3646.7073464671334</v>
      </c>
      <c r="G9" s="17">
        <f t="shared" si="1"/>
        <v>3779.8891605692015</v>
      </c>
      <c r="H9" s="17">
        <f t="shared" si="1"/>
        <v>3913.2333330082874</v>
      </c>
    </row>
    <row r="10" spans="2:11" x14ac:dyDescent="0.3">
      <c r="B10" s="1" t="s">
        <v>232</v>
      </c>
      <c r="C10" s="120">
        <f>Financials!K129</f>
        <v>2700</v>
      </c>
      <c r="D10" s="17">
        <f>Financials!L129</f>
        <v>2700</v>
      </c>
      <c r="E10" s="17">
        <f>Financials!M129</f>
        <v>2700</v>
      </c>
      <c r="F10" s="17">
        <f>Financials!N129</f>
        <v>2700</v>
      </c>
      <c r="G10" s="17">
        <f>Financials!O129</f>
        <v>2700</v>
      </c>
      <c r="H10" s="17">
        <f>Financials!P129</f>
        <v>2700</v>
      </c>
    </row>
    <row r="11" spans="2:11" x14ac:dyDescent="0.3">
      <c r="B11" s="1" t="s">
        <v>233</v>
      </c>
      <c r="C11" s="122">
        <f>Financials!K150</f>
        <v>-3000</v>
      </c>
      <c r="D11" s="104">
        <f>Financials!L150</f>
        <v>-3000</v>
      </c>
      <c r="E11" s="104">
        <f>Financials!M150</f>
        <v>-3000</v>
      </c>
      <c r="F11" s="104">
        <f>Financials!N150</f>
        <v>-3000</v>
      </c>
      <c r="G11" s="104">
        <f>Financials!O150</f>
        <v>-3000</v>
      </c>
      <c r="H11" s="104">
        <f>Financials!P150</f>
        <v>-3000</v>
      </c>
    </row>
    <row r="12" spans="2:11" x14ac:dyDescent="0.3">
      <c r="B12" s="1" t="s">
        <v>234</v>
      </c>
      <c r="C12" s="123">
        <f>Financials!K145</f>
        <v>0</v>
      </c>
      <c r="D12" s="105">
        <f>Financials!L145</f>
        <v>0</v>
      </c>
      <c r="E12" s="105">
        <f>Financials!M145</f>
        <v>0</v>
      </c>
      <c r="F12" s="105">
        <f>Financials!N145</f>
        <v>0</v>
      </c>
      <c r="G12" s="105">
        <f>Financials!O145</f>
        <v>0</v>
      </c>
      <c r="H12" s="105">
        <f>Financials!P145</f>
        <v>0</v>
      </c>
      <c r="I12" s="73"/>
    </row>
    <row r="13" spans="2:11" ht="3" customHeight="1" x14ac:dyDescent="0.3">
      <c r="C13" s="124"/>
      <c r="D13" s="77"/>
      <c r="E13" s="77"/>
      <c r="F13" s="77"/>
      <c r="G13" s="77"/>
      <c r="H13" s="77"/>
      <c r="I13" s="77"/>
    </row>
    <row r="14" spans="2:11" x14ac:dyDescent="0.3">
      <c r="B14" s="1" t="s">
        <v>225</v>
      </c>
      <c r="C14" s="120">
        <f>+C9+C10+C11+C12</f>
        <v>2431.082961948001</v>
      </c>
      <c r="D14" s="17">
        <f>+D9+D10+D11+D12</f>
        <v>2936.4990756560028</v>
      </c>
      <c r="E14" s="17">
        <f t="shared" ref="E14:H14" si="2">+E9+E10+E11+E12</f>
        <v>3231.1678711250879</v>
      </c>
      <c r="F14" s="17">
        <f t="shared" si="2"/>
        <v>3346.7073464671339</v>
      </c>
      <c r="G14" s="17">
        <f t="shared" si="2"/>
        <v>3479.8891605692015</v>
      </c>
      <c r="H14" s="17">
        <f t="shared" si="2"/>
        <v>3613.2333330082874</v>
      </c>
      <c r="I14" s="17">
        <f>H14/(D60-I15)</f>
        <v>26249.956586242221</v>
      </c>
    </row>
    <row r="15" spans="2:11" x14ac:dyDescent="0.3">
      <c r="B15" s="31" t="s">
        <v>241</v>
      </c>
      <c r="C15" s="63"/>
      <c r="D15" s="63">
        <f>D14/C14-1</f>
        <v>0.20789751794526068</v>
      </c>
      <c r="E15" s="63">
        <f>E14/D14-1</f>
        <v>0.10034697368438894</v>
      </c>
      <c r="F15" s="63">
        <f>F14/E14-1</f>
        <v>3.5757806449658425E-2</v>
      </c>
      <c r="G15" s="63">
        <f>G14/F14-1</f>
        <v>3.9794879060058186E-2</v>
      </c>
      <c r="H15" s="63">
        <f>H14/G14-1</f>
        <v>3.8318511391114196E-2</v>
      </c>
      <c r="I15" s="119">
        <v>0.02</v>
      </c>
      <c r="K15" s="1" t="s">
        <v>250</v>
      </c>
    </row>
    <row r="17" spans="2:11" x14ac:dyDescent="0.3">
      <c r="B17" s="1" t="s">
        <v>235</v>
      </c>
      <c r="D17" s="17">
        <f>D14/(1+$D$60)^D4</f>
        <v>2536.6096387713633</v>
      </c>
      <c r="E17" s="17">
        <f>E14/(1+$D$60)^E4</f>
        <v>2411.0546901321568</v>
      </c>
      <c r="F17" s="17">
        <f>F14/(1+$D$60)^F4</f>
        <v>2157.193220616241</v>
      </c>
      <c r="G17" s="17">
        <f>G14/(1+$D$60)^G4</f>
        <v>1937.5837829929008</v>
      </c>
      <c r="H17" s="17">
        <f>H14/(1+$D$60)^H4</f>
        <v>1737.8602814480014</v>
      </c>
      <c r="I17" s="17">
        <f>I14/(1+$D$60)^H4</f>
        <v>12625.466649003731</v>
      </c>
    </row>
    <row r="19" spans="2:11" x14ac:dyDescent="0.3">
      <c r="B19" s="27" t="s">
        <v>188</v>
      </c>
      <c r="C19" s="164">
        <f>SUM(D17:I17)</f>
        <v>23405.768262964397</v>
      </c>
    </row>
    <row r="20" spans="2:11" x14ac:dyDescent="0.3">
      <c r="B20" s="1" t="s">
        <v>206</v>
      </c>
      <c r="C20" s="68">
        <f>-Financials!J219</f>
        <v>-13385</v>
      </c>
    </row>
    <row r="21" spans="2:11" x14ac:dyDescent="0.3">
      <c r="B21" s="1" t="s">
        <v>207</v>
      </c>
      <c r="C21" s="68">
        <f>-Financials!J220</f>
        <v>11781</v>
      </c>
    </row>
    <row r="22" spans="2:11" x14ac:dyDescent="0.3">
      <c r="B22" s="73" t="s">
        <v>236</v>
      </c>
      <c r="C22" s="75">
        <f>-Financials!J212</f>
        <v>-2338</v>
      </c>
    </row>
    <row r="23" spans="2:11" x14ac:dyDescent="0.3">
      <c r="B23" s="73" t="s">
        <v>238</v>
      </c>
      <c r="C23" s="165">
        <v>-10558</v>
      </c>
    </row>
    <row r="24" spans="2:11" ht="3" customHeight="1" x14ac:dyDescent="0.3">
      <c r="B24" s="77"/>
      <c r="C24" s="166"/>
    </row>
    <row r="25" spans="2:11" x14ac:dyDescent="0.3">
      <c r="B25" s="27" t="s">
        <v>214</v>
      </c>
      <c r="C25" s="164">
        <f>SUM(C19:C24)</f>
        <v>8905.7682629643969</v>
      </c>
    </row>
    <row r="28" spans="2:11" x14ac:dyDescent="0.3">
      <c r="B28" s="2" t="s">
        <v>239</v>
      </c>
      <c r="C28" s="2"/>
      <c r="D28" s="2"/>
      <c r="E28" s="2"/>
      <c r="F28" s="2"/>
      <c r="G28" s="2"/>
      <c r="H28" s="2"/>
      <c r="I28" s="2"/>
      <c r="J28" s="2"/>
      <c r="K28" s="2"/>
    </row>
    <row r="29" spans="2:11" ht="20.25" customHeight="1" x14ac:dyDescent="0.45">
      <c r="B29" s="110" t="s">
        <v>112</v>
      </c>
      <c r="C29" s="110"/>
      <c r="D29" s="110"/>
      <c r="F29" s="110" t="s">
        <v>245</v>
      </c>
      <c r="G29" s="110"/>
      <c r="H29" s="110"/>
      <c r="K29" s="3" t="s">
        <v>152</v>
      </c>
    </row>
    <row r="30" spans="2:11" x14ac:dyDescent="0.3">
      <c r="B30" s="106" t="s">
        <v>240</v>
      </c>
      <c r="C30" s="112" t="s">
        <v>179</v>
      </c>
      <c r="D30" s="112" t="s">
        <v>180</v>
      </c>
      <c r="F30" s="111"/>
    </row>
    <row r="31" spans="2:11" x14ac:dyDescent="0.3">
      <c r="B31" s="111" t="s">
        <v>163</v>
      </c>
      <c r="C31" s="113">
        <v>4715</v>
      </c>
      <c r="D31" s="114">
        <v>9.0399999999999994E-2</v>
      </c>
      <c r="E31" s="18"/>
      <c r="F31" s="111" t="s">
        <v>243</v>
      </c>
      <c r="G31" s="18"/>
      <c r="H31" s="114">
        <v>3.9600000000000003E-2</v>
      </c>
      <c r="I31" s="18"/>
      <c r="K31" s="1" t="s">
        <v>248</v>
      </c>
    </row>
    <row r="32" spans="2:11" x14ac:dyDescent="0.3">
      <c r="B32" s="111" t="s">
        <v>164</v>
      </c>
      <c r="C32" s="113">
        <v>2910</v>
      </c>
      <c r="D32" s="114">
        <v>4.48E-2</v>
      </c>
      <c r="E32" s="18"/>
      <c r="F32" s="111" t="s">
        <v>246</v>
      </c>
      <c r="G32" s="18"/>
      <c r="H32" s="114">
        <v>0.115</v>
      </c>
      <c r="I32" s="18"/>
      <c r="K32" s="1" t="s">
        <v>249</v>
      </c>
    </row>
    <row r="33" spans="2:11" x14ac:dyDescent="0.3">
      <c r="B33" s="111" t="s">
        <v>165</v>
      </c>
      <c r="C33" s="113">
        <v>1500</v>
      </c>
      <c r="D33" s="114">
        <v>0.08</v>
      </c>
      <c r="E33" s="18"/>
      <c r="F33" s="111" t="s">
        <v>247</v>
      </c>
      <c r="G33" s="18"/>
      <c r="H33" s="169">
        <v>3.6</v>
      </c>
      <c r="I33" s="18"/>
      <c r="K33" s="1" t="s">
        <v>262</v>
      </c>
    </row>
    <row r="34" spans="2:11" x14ac:dyDescent="0.3">
      <c r="B34" s="111" t="s">
        <v>166</v>
      </c>
      <c r="C34" s="113">
        <v>1700</v>
      </c>
      <c r="D34" s="114">
        <v>8.2500000000000004E-2</v>
      </c>
      <c r="E34" s="18"/>
      <c r="F34" s="111"/>
      <c r="G34" s="18"/>
      <c r="H34" s="18"/>
      <c r="I34" s="18"/>
    </row>
    <row r="35" spans="2:11" x14ac:dyDescent="0.3">
      <c r="B35" s="111" t="s">
        <v>167</v>
      </c>
      <c r="C35" s="113">
        <f>86+324</f>
        <v>410</v>
      </c>
      <c r="D35" s="114">
        <v>7.3800000000000004E-2</v>
      </c>
      <c r="E35" s="18"/>
      <c r="F35" s="111"/>
      <c r="G35" s="18"/>
      <c r="H35" s="18"/>
      <c r="I35" s="18"/>
    </row>
    <row r="36" spans="2:11" x14ac:dyDescent="0.3">
      <c r="B36" s="111" t="s">
        <v>168</v>
      </c>
      <c r="C36" s="113">
        <f>24+425</f>
        <v>449</v>
      </c>
      <c r="D36" s="114">
        <v>9.2100000000000001E-2</v>
      </c>
      <c r="E36" s="18"/>
      <c r="F36" s="111"/>
      <c r="G36" s="18"/>
      <c r="H36" s="18"/>
      <c r="I36" s="18"/>
    </row>
    <row r="37" spans="2:11" x14ac:dyDescent="0.3">
      <c r="B37" s="111" t="s">
        <v>169</v>
      </c>
      <c r="C37" s="113">
        <v>97</v>
      </c>
      <c r="D37" s="114">
        <v>9.6799999999999997E-2</v>
      </c>
      <c r="E37" s="18"/>
      <c r="F37" s="111"/>
      <c r="G37" s="18"/>
      <c r="H37" s="18"/>
      <c r="I37" s="18"/>
    </row>
    <row r="38" spans="2:11" x14ac:dyDescent="0.3">
      <c r="B38" s="111" t="s">
        <v>170</v>
      </c>
      <c r="C38" s="113">
        <v>231</v>
      </c>
      <c r="D38" s="114">
        <v>7.7399999999999997E-2</v>
      </c>
      <c r="E38" s="18"/>
      <c r="F38" s="111"/>
      <c r="G38" s="18"/>
      <c r="H38" s="18"/>
      <c r="I38" s="18"/>
    </row>
    <row r="39" spans="2:11" x14ac:dyDescent="0.3">
      <c r="B39" s="111" t="s">
        <v>171</v>
      </c>
      <c r="C39" s="113">
        <f>30+327</f>
        <v>357</v>
      </c>
      <c r="D39" s="114">
        <v>9.1200000000000003E-2</v>
      </c>
      <c r="E39" s="18"/>
      <c r="F39" s="111"/>
      <c r="G39" s="18"/>
      <c r="H39" s="18"/>
      <c r="I39" s="18"/>
    </row>
    <row r="40" spans="2:11" x14ac:dyDescent="0.3">
      <c r="B40" s="111" t="s">
        <v>172</v>
      </c>
      <c r="C40" s="113">
        <v>150</v>
      </c>
      <c r="D40" s="114">
        <v>0.04</v>
      </c>
      <c r="E40" s="18"/>
      <c r="F40" s="111"/>
      <c r="G40" s="18"/>
      <c r="H40" s="18"/>
      <c r="I40" s="18"/>
    </row>
    <row r="41" spans="2:11" x14ac:dyDescent="0.3">
      <c r="B41" s="111" t="s">
        <v>173</v>
      </c>
      <c r="C41" s="113">
        <v>250</v>
      </c>
      <c r="D41" s="114">
        <v>0.04</v>
      </c>
      <c r="E41" s="18"/>
      <c r="F41" s="111"/>
      <c r="G41" s="18"/>
      <c r="H41" s="18"/>
      <c r="I41" s="18"/>
    </row>
    <row r="42" spans="2:11" x14ac:dyDescent="0.3">
      <c r="B42" s="111" t="s">
        <v>174</v>
      </c>
      <c r="C42" s="113">
        <v>54</v>
      </c>
      <c r="D42" s="114">
        <v>0.1</v>
      </c>
      <c r="E42" s="18"/>
      <c r="F42" s="111"/>
      <c r="G42" s="18"/>
      <c r="H42" s="18"/>
      <c r="I42" s="18"/>
    </row>
    <row r="43" spans="2:11" x14ac:dyDescent="0.3">
      <c r="B43" s="111" t="s">
        <v>175</v>
      </c>
      <c r="C43" s="113">
        <v>299</v>
      </c>
      <c r="D43" s="114">
        <v>0.1101</v>
      </c>
      <c r="E43" s="18"/>
      <c r="F43" s="111"/>
      <c r="G43" s="18"/>
      <c r="H43" s="18"/>
      <c r="I43" s="18"/>
    </row>
    <row r="44" spans="2:11" x14ac:dyDescent="0.3">
      <c r="B44" s="111" t="s">
        <v>176</v>
      </c>
      <c r="C44" s="113">
        <v>82</v>
      </c>
      <c r="D44" s="114">
        <v>0.11210000000000001</v>
      </c>
      <c r="E44" s="18"/>
      <c r="F44" s="111"/>
      <c r="G44" s="18"/>
      <c r="H44" s="18"/>
      <c r="I44" s="18"/>
    </row>
    <row r="45" spans="2:11" x14ac:dyDescent="0.3">
      <c r="B45" s="111" t="s">
        <v>177</v>
      </c>
      <c r="C45" s="113">
        <v>181</v>
      </c>
      <c r="D45" s="114">
        <v>0.13039999999999999</v>
      </c>
      <c r="E45" s="18"/>
      <c r="F45" s="111"/>
      <c r="G45" s="18"/>
      <c r="H45" s="18"/>
      <c r="I45" s="18"/>
    </row>
    <row r="46" spans="2:11" ht="3" customHeight="1" x14ac:dyDescent="0.3">
      <c r="B46" s="111"/>
      <c r="C46" s="115"/>
      <c r="D46" s="115"/>
      <c r="E46" s="18"/>
      <c r="F46" s="111"/>
      <c r="G46" s="6"/>
      <c r="H46" s="6"/>
      <c r="I46" s="6"/>
    </row>
    <row r="47" spans="2:11" x14ac:dyDescent="0.3">
      <c r="B47" s="111" t="s">
        <v>17</v>
      </c>
      <c r="C47" s="68">
        <f>SUM(C31:C46)</f>
        <v>13385</v>
      </c>
      <c r="D47" s="68">
        <f>SUMPRODUCT(C31:C46,D31:D46)</f>
        <v>1035.4068</v>
      </c>
      <c r="F47" s="111"/>
    </row>
    <row r="48" spans="2:11" x14ac:dyDescent="0.3">
      <c r="B48" s="111" t="s">
        <v>178</v>
      </c>
      <c r="C48" s="69"/>
      <c r="D48" s="116">
        <f>D47/C47</f>
        <v>7.7355756443780344E-2</v>
      </c>
      <c r="F48" s="111"/>
    </row>
    <row r="49" spans="2:8" x14ac:dyDescent="0.3">
      <c r="B49" s="31" t="s">
        <v>261</v>
      </c>
      <c r="C49" s="69"/>
      <c r="D49" s="117">
        <f>Financials!P117</f>
        <v>0.35</v>
      </c>
      <c r="F49" s="111"/>
    </row>
    <row r="51" spans="2:8" x14ac:dyDescent="0.3">
      <c r="B51" s="98" t="s">
        <v>242</v>
      </c>
      <c r="C51" s="118"/>
      <c r="D51" s="126">
        <f>D48*(1-D49)</f>
        <v>5.0281241688457226E-2</v>
      </c>
      <c r="F51" s="98" t="s">
        <v>244</v>
      </c>
      <c r="G51" s="118"/>
      <c r="H51" s="126">
        <f>H31+(H33*(H32-H31))</f>
        <v>0.31104000000000004</v>
      </c>
    </row>
    <row r="53" spans="2:8" s="27" customFormat="1" x14ac:dyDescent="0.3">
      <c r="B53" s="106" t="s">
        <v>256</v>
      </c>
      <c r="C53" s="112" t="s">
        <v>257</v>
      </c>
      <c r="D53" s="112" t="s">
        <v>258</v>
      </c>
    </row>
    <row r="54" spans="2:8" x14ac:dyDescent="0.3">
      <c r="B54" s="1" t="s">
        <v>112</v>
      </c>
      <c r="C54" s="68">
        <f>C47</f>
        <v>13385</v>
      </c>
    </row>
    <row r="55" spans="2:8" x14ac:dyDescent="0.3">
      <c r="B55" s="1" t="s">
        <v>114</v>
      </c>
      <c r="C55" s="68">
        <f>Financials!J214</f>
        <v>5857</v>
      </c>
    </row>
    <row r="56" spans="2:8" x14ac:dyDescent="0.3">
      <c r="B56" s="1" t="s">
        <v>161</v>
      </c>
      <c r="C56" s="68">
        <f>+C54+C55</f>
        <v>19242</v>
      </c>
    </row>
    <row r="57" spans="2:8" x14ac:dyDescent="0.3">
      <c r="B57" s="31" t="s">
        <v>181</v>
      </c>
      <c r="C57" s="117">
        <f>+C54/C56</f>
        <v>0.69561376156324706</v>
      </c>
      <c r="D57" s="117">
        <f>C79</f>
        <v>0.58825555555555553</v>
      </c>
    </row>
    <row r="58" spans="2:8" x14ac:dyDescent="0.3">
      <c r="B58" s="31" t="s">
        <v>182</v>
      </c>
      <c r="C58" s="117">
        <f>+C55/C56</f>
        <v>0.30438623843675294</v>
      </c>
      <c r="D58" s="117">
        <f>1-D57</f>
        <v>0.41174444444444447</v>
      </c>
    </row>
    <row r="59" spans="2:8" ht="14.25" thickBot="1" x14ac:dyDescent="0.35"/>
    <row r="60" spans="2:8" s="27" customFormat="1" ht="14.25" thickBot="1" x14ac:dyDescent="0.35">
      <c r="B60" s="27" t="s">
        <v>162</v>
      </c>
      <c r="D60" s="125">
        <f>(D57*D51)+(D58*H51)</f>
        <v>0.15764721176346658</v>
      </c>
      <c r="F60" s="1"/>
    </row>
    <row r="63" spans="2:8" x14ac:dyDescent="0.3">
      <c r="B63" s="129" t="s">
        <v>251</v>
      </c>
      <c r="D63" s="131" t="s">
        <v>252</v>
      </c>
      <c r="E63" s="131" t="s">
        <v>253</v>
      </c>
      <c r="F63" s="131" t="s">
        <v>215</v>
      </c>
    </row>
    <row r="64" spans="2:8" x14ac:dyDescent="0.3">
      <c r="B64" s="109">
        <v>2010</v>
      </c>
      <c r="D64" s="128">
        <v>0.15</v>
      </c>
      <c r="E64" s="128">
        <v>0.153</v>
      </c>
      <c r="F64" s="130">
        <f>AVERAGE(D64:E64)</f>
        <v>0.1515</v>
      </c>
    </row>
    <row r="65" spans="2:6" x14ac:dyDescent="0.3">
      <c r="B65" s="109">
        <v>2011</v>
      </c>
      <c r="D65" s="128">
        <v>0.14399999999999999</v>
      </c>
      <c r="E65" s="128">
        <v>0.16500000000000001</v>
      </c>
      <c r="F65" s="130">
        <f>AVERAGE(D65:E65)</f>
        <v>0.1545</v>
      </c>
    </row>
    <row r="66" spans="2:6" x14ac:dyDescent="0.3">
      <c r="B66" s="109">
        <v>2012</v>
      </c>
      <c r="D66" s="128">
        <v>0.16</v>
      </c>
      <c r="E66" s="128">
        <v>0.16500000000000001</v>
      </c>
      <c r="F66" s="130">
        <f>AVERAGE(D66:E66)</f>
        <v>0.16250000000000001</v>
      </c>
    </row>
    <row r="68" spans="2:6" x14ac:dyDescent="0.3">
      <c r="B68" s="106" t="s">
        <v>259</v>
      </c>
    </row>
    <row r="69" spans="2:6" x14ac:dyDescent="0.3">
      <c r="B69" s="1" t="s">
        <v>185</v>
      </c>
      <c r="C69" s="128">
        <v>0.81200000000000006</v>
      </c>
    </row>
    <row r="70" spans="2:6" x14ac:dyDescent="0.3">
      <c r="B70" s="1" t="s">
        <v>193</v>
      </c>
      <c r="C70" s="128">
        <v>0.45600000000000002</v>
      </c>
    </row>
    <row r="71" spans="2:6" x14ac:dyDescent="0.3">
      <c r="B71" s="1" t="s">
        <v>197</v>
      </c>
      <c r="C71" s="128">
        <v>0.52500000000000002</v>
      </c>
    </row>
    <row r="72" spans="2:6" x14ac:dyDescent="0.3">
      <c r="B72" s="1" t="s">
        <v>195</v>
      </c>
      <c r="C72" s="128">
        <v>0.48499999999999999</v>
      </c>
    </row>
    <row r="73" spans="2:6" x14ac:dyDescent="0.3">
      <c r="B73" s="1" t="s">
        <v>199</v>
      </c>
      <c r="C73" s="128">
        <v>0.5514</v>
      </c>
    </row>
    <row r="74" spans="2:6" x14ac:dyDescent="0.3">
      <c r="B74" s="1" t="s">
        <v>196</v>
      </c>
      <c r="C74" s="128">
        <v>0.45889999999999997</v>
      </c>
    </row>
    <row r="75" spans="2:6" x14ac:dyDescent="0.3">
      <c r="B75" s="1" t="s">
        <v>202</v>
      </c>
      <c r="C75" s="128">
        <v>0.6603</v>
      </c>
    </row>
    <row r="76" spans="2:6" x14ac:dyDescent="0.3">
      <c r="B76" s="1" t="s">
        <v>201</v>
      </c>
      <c r="C76" s="128">
        <v>0.64190000000000003</v>
      </c>
    </row>
    <row r="77" spans="2:6" x14ac:dyDescent="0.3">
      <c r="B77" s="1" t="s">
        <v>223</v>
      </c>
      <c r="C77" s="128">
        <v>0.70379999999999998</v>
      </c>
    </row>
    <row r="78" spans="2:6" ht="3" customHeight="1" x14ac:dyDescent="0.3">
      <c r="B78" s="77"/>
      <c r="C78" s="77"/>
    </row>
    <row r="79" spans="2:6" x14ac:dyDescent="0.3">
      <c r="B79" s="1" t="s">
        <v>215</v>
      </c>
      <c r="C79" s="130">
        <f>AVERAGE(C69:C78)</f>
        <v>0.58825555555555553</v>
      </c>
    </row>
  </sheetData>
  <pageMargins left="0.7" right="0.7" top="0.75" bottom="0.75" header="0.3" footer="0.3"/>
  <pageSetup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6"/>
  <sheetViews>
    <sheetView view="pageBreakPreview" zoomScaleNormal="100" zoomScaleSheetLayoutView="100" workbookViewId="0">
      <selection activeCell="D15" sqref="D15"/>
    </sheetView>
  </sheetViews>
  <sheetFormatPr defaultRowHeight="13.5" x14ac:dyDescent="0.3"/>
  <cols>
    <col min="1" max="1" width="1.625" style="1" customWidth="1"/>
    <col min="2" max="2" width="21.75" style="1" customWidth="1"/>
    <col min="3" max="11" width="14.375" style="69" customWidth="1"/>
    <col min="12" max="13" width="1.625" style="1" customWidth="1"/>
    <col min="14" max="16384" width="9" style="1"/>
  </cols>
  <sheetData>
    <row r="2" spans="2:15" x14ac:dyDescent="0.3">
      <c r="B2" s="2" t="s">
        <v>210</v>
      </c>
      <c r="C2" s="2"/>
      <c r="D2" s="2"/>
      <c r="E2" s="2"/>
      <c r="F2" s="2"/>
      <c r="G2" s="2"/>
      <c r="I2" s="65"/>
      <c r="J2" s="65"/>
      <c r="K2" s="65"/>
      <c r="L2" s="65"/>
      <c r="M2" s="65"/>
      <c r="N2" s="65"/>
      <c r="O2" s="65"/>
    </row>
    <row r="3" spans="2:15" s="3" customFormat="1" ht="20.25" customHeight="1" x14ac:dyDescent="0.45">
      <c r="B3" s="3" t="s">
        <v>186</v>
      </c>
      <c r="C3" s="66" t="s">
        <v>187</v>
      </c>
      <c r="D3" s="66" t="s">
        <v>189</v>
      </c>
      <c r="E3" s="66" t="s">
        <v>188</v>
      </c>
      <c r="F3" s="66" t="s">
        <v>191</v>
      </c>
      <c r="G3" s="66" t="s">
        <v>192</v>
      </c>
      <c r="I3" s="65"/>
      <c r="J3" s="65"/>
      <c r="K3" s="65"/>
      <c r="L3" s="65"/>
      <c r="M3" s="65"/>
      <c r="N3" s="65"/>
      <c r="O3" s="65"/>
    </row>
    <row r="4" spans="2:15" x14ac:dyDescent="0.3">
      <c r="B4" s="1" t="s">
        <v>185</v>
      </c>
      <c r="C4" s="67">
        <v>41639</v>
      </c>
      <c r="D4" s="67" t="s">
        <v>190</v>
      </c>
      <c r="E4" s="68">
        <v>50400.2</v>
      </c>
      <c r="F4" s="68">
        <v>12022</v>
      </c>
      <c r="G4" s="65">
        <f>E4/F4</f>
        <v>4.192330727000499</v>
      </c>
      <c r="I4" s="65"/>
      <c r="J4" s="65"/>
      <c r="K4" s="65"/>
    </row>
    <row r="5" spans="2:15" x14ac:dyDescent="0.3">
      <c r="B5" s="73" t="s">
        <v>193</v>
      </c>
      <c r="C5" s="74">
        <v>41639</v>
      </c>
      <c r="D5" s="74" t="s">
        <v>190</v>
      </c>
      <c r="E5" s="75">
        <v>40112</v>
      </c>
      <c r="F5" s="75">
        <v>13172</v>
      </c>
      <c r="G5" s="76">
        <f>E5/F5</f>
        <v>3.0452474946856971</v>
      </c>
      <c r="I5" s="76"/>
      <c r="J5" s="76"/>
      <c r="K5" s="76"/>
    </row>
    <row r="6" spans="2:15" ht="3" customHeight="1" x14ac:dyDescent="0.3">
      <c r="B6" s="77"/>
      <c r="C6" s="78"/>
      <c r="D6" s="78"/>
      <c r="E6" s="79"/>
      <c r="F6" s="79"/>
      <c r="G6" s="80"/>
      <c r="I6" s="76"/>
      <c r="J6" s="76"/>
      <c r="K6" s="76"/>
    </row>
    <row r="7" spans="2:15" x14ac:dyDescent="0.3">
      <c r="B7" s="81" t="s">
        <v>203</v>
      </c>
      <c r="C7" s="82"/>
      <c r="D7" s="82"/>
      <c r="E7" s="83"/>
      <c r="F7" s="83"/>
      <c r="G7" s="84">
        <f>AVERAGE(G4:G6)</f>
        <v>3.6187891108430978</v>
      </c>
      <c r="I7" s="76"/>
      <c r="J7" s="76"/>
      <c r="K7" s="76"/>
    </row>
    <row r="8" spans="2:15" x14ac:dyDescent="0.3">
      <c r="C8" s="67"/>
      <c r="D8" s="67"/>
      <c r="E8" s="68"/>
      <c r="F8" s="68"/>
      <c r="G8" s="65"/>
      <c r="I8" s="76"/>
      <c r="J8" s="76"/>
      <c r="K8" s="76"/>
    </row>
    <row r="9" spans="2:15" x14ac:dyDescent="0.3">
      <c r="B9" s="1" t="s">
        <v>197</v>
      </c>
      <c r="C9" s="67">
        <v>41364</v>
      </c>
      <c r="D9" s="67" t="s">
        <v>194</v>
      </c>
      <c r="E9" s="70">
        <v>26879600</v>
      </c>
      <c r="F9" s="70">
        <v>2426000</v>
      </c>
      <c r="G9" s="65">
        <f>E9/F9</f>
        <v>11.079802143446001</v>
      </c>
      <c r="I9" s="76"/>
      <c r="J9" s="76"/>
      <c r="K9" s="76"/>
    </row>
    <row r="10" spans="2:15" x14ac:dyDescent="0.3">
      <c r="B10" s="1" t="s">
        <v>195</v>
      </c>
      <c r="C10" s="67">
        <v>41364</v>
      </c>
      <c r="D10" s="67" t="s">
        <v>194</v>
      </c>
      <c r="E10" s="70">
        <v>10241500</v>
      </c>
      <c r="F10" s="70">
        <v>1135300</v>
      </c>
      <c r="G10" s="65">
        <f>E10/F10</f>
        <v>9.0209636219501448</v>
      </c>
      <c r="I10" s="76"/>
      <c r="J10" s="76"/>
      <c r="K10" s="76"/>
    </row>
    <row r="11" spans="2:15" x14ac:dyDescent="0.3">
      <c r="B11" s="1" t="s">
        <v>199</v>
      </c>
      <c r="C11" s="67">
        <v>41364</v>
      </c>
      <c r="D11" s="67" t="s">
        <v>194</v>
      </c>
      <c r="E11" s="70">
        <v>3258500</v>
      </c>
      <c r="F11" s="70">
        <v>1008400</v>
      </c>
      <c r="G11" s="65">
        <f>E11/F11</f>
        <v>3.231356604522015</v>
      </c>
      <c r="I11" s="76"/>
      <c r="J11" s="76"/>
      <c r="K11" s="76"/>
    </row>
    <row r="12" spans="2:15" x14ac:dyDescent="0.3">
      <c r="C12" s="67"/>
      <c r="D12" s="67"/>
      <c r="E12" s="70"/>
      <c r="F12" s="70"/>
      <c r="G12" s="65"/>
      <c r="I12" s="76"/>
      <c r="J12" s="76"/>
      <c r="K12" s="76"/>
    </row>
    <row r="13" spans="2:15" x14ac:dyDescent="0.3">
      <c r="B13" s="1" t="s">
        <v>196</v>
      </c>
      <c r="C13" s="67">
        <v>41639</v>
      </c>
      <c r="D13" s="67" t="s">
        <v>198</v>
      </c>
      <c r="E13" s="71">
        <v>80278300</v>
      </c>
      <c r="F13" s="71">
        <v>10866800</v>
      </c>
      <c r="G13" s="65">
        <f>E13/F13</f>
        <v>7.3874829756690099</v>
      </c>
      <c r="I13" s="76"/>
      <c r="J13" s="76"/>
      <c r="K13" s="76"/>
    </row>
    <row r="14" spans="2:15" x14ac:dyDescent="0.3">
      <c r="C14" s="67"/>
      <c r="D14" s="67"/>
      <c r="E14" s="68"/>
      <c r="F14" s="68"/>
      <c r="G14" s="65"/>
      <c r="I14" s="76"/>
      <c r="J14" s="76"/>
      <c r="K14" s="76"/>
    </row>
    <row r="15" spans="2:15" x14ac:dyDescent="0.3">
      <c r="B15" s="1" t="s">
        <v>202</v>
      </c>
      <c r="C15" s="67">
        <v>41639</v>
      </c>
      <c r="D15" s="67" t="s">
        <v>200</v>
      </c>
      <c r="E15" s="72">
        <v>84511</v>
      </c>
      <c r="F15" s="72">
        <v>13663</v>
      </c>
      <c r="G15" s="65">
        <f>E15/F15</f>
        <v>6.1853912025177484</v>
      </c>
      <c r="I15" s="76"/>
      <c r="J15" s="76"/>
      <c r="K15" s="76"/>
    </row>
    <row r="16" spans="2:15" x14ac:dyDescent="0.3">
      <c r="B16" s="1" t="s">
        <v>201</v>
      </c>
      <c r="C16" s="67">
        <v>41639</v>
      </c>
      <c r="D16" s="67" t="s">
        <v>200</v>
      </c>
      <c r="E16" s="72">
        <v>52502</v>
      </c>
      <c r="F16" s="72">
        <v>12224</v>
      </c>
      <c r="G16" s="65">
        <f>E16/F16</f>
        <v>4.2949934554973819</v>
      </c>
      <c r="I16" s="76"/>
      <c r="J16" s="76"/>
      <c r="K16" s="76"/>
    </row>
    <row r="17" spans="2:11" x14ac:dyDescent="0.3">
      <c r="C17" s="67"/>
      <c r="D17" s="67"/>
      <c r="E17" s="72"/>
      <c r="F17" s="72"/>
      <c r="G17" s="65"/>
      <c r="I17" s="76"/>
      <c r="J17" s="76"/>
      <c r="K17" s="76"/>
    </row>
    <row r="18" spans="2:11" x14ac:dyDescent="0.3">
      <c r="B18" s="1" t="s">
        <v>223</v>
      </c>
      <c r="C18" s="67">
        <v>41639</v>
      </c>
      <c r="D18" s="67" t="s">
        <v>200</v>
      </c>
      <c r="E18" s="72">
        <v>21668.799999999999</v>
      </c>
      <c r="F18" s="72">
        <v>7449</v>
      </c>
      <c r="G18" s="65">
        <f>E18/F18</f>
        <v>2.9089542220432274</v>
      </c>
      <c r="I18" s="76"/>
      <c r="J18" s="76"/>
      <c r="K18" s="76"/>
    </row>
    <row r="19" spans="2:11" ht="3" customHeight="1" x14ac:dyDescent="0.3">
      <c r="B19" s="77"/>
      <c r="C19" s="78"/>
      <c r="D19" s="78"/>
      <c r="E19" s="79"/>
      <c r="F19" s="79"/>
      <c r="G19" s="80"/>
      <c r="I19" s="76"/>
      <c r="J19" s="76"/>
      <c r="K19" s="76"/>
    </row>
    <row r="20" spans="2:11" x14ac:dyDescent="0.3">
      <c r="B20" s="81" t="s">
        <v>204</v>
      </c>
      <c r="C20" s="82"/>
      <c r="D20" s="82"/>
      <c r="E20" s="83"/>
      <c r="F20" s="83"/>
      <c r="G20" s="84">
        <f>AVERAGE(G9:G19)</f>
        <v>6.3012777465207899</v>
      </c>
      <c r="I20" s="76"/>
      <c r="J20" s="76"/>
      <c r="K20" s="76"/>
    </row>
    <row r="21" spans="2:11" x14ac:dyDescent="0.3">
      <c r="C21" s="67"/>
      <c r="D21" s="67"/>
      <c r="E21" s="67"/>
      <c r="F21" s="68"/>
      <c r="G21" s="68"/>
      <c r="H21" s="65"/>
      <c r="I21" s="76"/>
      <c r="J21" s="76"/>
      <c r="K21" s="76"/>
    </row>
    <row r="23" spans="2:11" x14ac:dyDescent="0.3">
      <c r="B23" s="2" t="s">
        <v>210</v>
      </c>
      <c r="C23" s="2"/>
      <c r="D23" s="2"/>
      <c r="E23" s="2"/>
      <c r="F23" s="2"/>
      <c r="G23" s="2"/>
      <c r="H23" s="2"/>
      <c r="I23" s="2"/>
      <c r="J23" s="2"/>
      <c r="K23" s="2"/>
    </row>
    <row r="24" spans="2:11" s="27" customFormat="1" ht="19.5" customHeight="1" x14ac:dyDescent="0.3">
      <c r="B24" s="107" t="s">
        <v>217</v>
      </c>
      <c r="C24" s="108">
        <v>3</v>
      </c>
      <c r="D24" s="108">
        <v>3.5</v>
      </c>
      <c r="E24" s="108">
        <v>4</v>
      </c>
      <c r="F24" s="108">
        <v>4.5</v>
      </c>
      <c r="G24" s="108">
        <v>5</v>
      </c>
      <c r="H24" s="108">
        <v>5.5</v>
      </c>
      <c r="I24" s="108">
        <v>6</v>
      </c>
      <c r="J24" s="108">
        <v>6.5</v>
      </c>
      <c r="K24" s="108">
        <v>7</v>
      </c>
    </row>
    <row r="25" spans="2:11" x14ac:dyDescent="0.3">
      <c r="B25" s="1" t="s">
        <v>205</v>
      </c>
      <c r="C25" s="68">
        <f>Financials!$J$134</f>
        <v>5463</v>
      </c>
      <c r="D25" s="68">
        <f>Financials!$J$134</f>
        <v>5463</v>
      </c>
      <c r="E25" s="68">
        <f>Financials!$J$134</f>
        <v>5463</v>
      </c>
      <c r="F25" s="68">
        <f>Financials!$J$134</f>
        <v>5463</v>
      </c>
      <c r="G25" s="68">
        <f>Financials!$J$134</f>
        <v>5463</v>
      </c>
      <c r="H25" s="68">
        <f>Financials!$J$134</f>
        <v>5463</v>
      </c>
      <c r="I25" s="68">
        <f>Financials!$J$134</f>
        <v>5463</v>
      </c>
      <c r="J25" s="68">
        <f>Financials!$J$134</f>
        <v>5463</v>
      </c>
      <c r="K25" s="68">
        <f>Financials!$J$134</f>
        <v>5463</v>
      </c>
    </row>
    <row r="26" spans="2:11" x14ac:dyDescent="0.3">
      <c r="B26" s="1" t="s">
        <v>218</v>
      </c>
      <c r="C26" s="68">
        <f>C24*C25</f>
        <v>16389</v>
      </c>
      <c r="D26" s="68">
        <f t="shared" ref="D26" si="0">D24*D25</f>
        <v>19120.5</v>
      </c>
      <c r="E26" s="68">
        <f t="shared" ref="E26:K26" si="1">E24*E25</f>
        <v>21852</v>
      </c>
      <c r="F26" s="68">
        <f t="shared" si="1"/>
        <v>24583.5</v>
      </c>
      <c r="G26" s="68">
        <f t="shared" si="1"/>
        <v>27315</v>
      </c>
      <c r="H26" s="68">
        <f t="shared" si="1"/>
        <v>30046.5</v>
      </c>
      <c r="I26" s="68">
        <f t="shared" si="1"/>
        <v>32778</v>
      </c>
      <c r="J26" s="68">
        <f t="shared" si="1"/>
        <v>35509.5</v>
      </c>
      <c r="K26" s="68">
        <f t="shared" si="1"/>
        <v>38241</v>
      </c>
    </row>
    <row r="27" spans="2:11" s="90" customFormat="1" ht="6" customHeight="1" x14ac:dyDescent="0.3">
      <c r="C27" s="92"/>
      <c r="D27" s="92"/>
      <c r="E27" s="92"/>
      <c r="F27" s="92"/>
      <c r="G27" s="92"/>
      <c r="H27" s="92"/>
      <c r="I27" s="92"/>
      <c r="J27" s="92"/>
      <c r="K27" s="92"/>
    </row>
    <row r="28" spans="2:11" s="90" customFormat="1" x14ac:dyDescent="0.3">
      <c r="B28" s="95" t="s">
        <v>206</v>
      </c>
      <c r="C28" s="93">
        <f>-Financials!$J$219</f>
        <v>-13385</v>
      </c>
      <c r="D28" s="93">
        <f>-Financials!$J$219</f>
        <v>-13385</v>
      </c>
      <c r="E28" s="93">
        <f>-Financials!$J$219</f>
        <v>-13385</v>
      </c>
      <c r="F28" s="93">
        <f>-Financials!$J$219</f>
        <v>-13385</v>
      </c>
      <c r="G28" s="93">
        <f>-Financials!$J$219</f>
        <v>-13385</v>
      </c>
      <c r="H28" s="93">
        <f>-Financials!$J$219</f>
        <v>-13385</v>
      </c>
      <c r="I28" s="93">
        <f>-Financials!$J$219</f>
        <v>-13385</v>
      </c>
      <c r="J28" s="93">
        <f>-Financials!$J$219</f>
        <v>-13385</v>
      </c>
      <c r="K28" s="93">
        <f>-Financials!$J$219</f>
        <v>-13385</v>
      </c>
    </row>
    <row r="29" spans="2:11" s="90" customFormat="1" x14ac:dyDescent="0.3">
      <c r="B29" s="96" t="s">
        <v>207</v>
      </c>
      <c r="C29" s="93">
        <f>-Financials!$J$220</f>
        <v>11781</v>
      </c>
      <c r="D29" s="93">
        <f>-Financials!$J$220</f>
        <v>11781</v>
      </c>
      <c r="E29" s="93">
        <f>-Financials!$J$220</f>
        <v>11781</v>
      </c>
      <c r="F29" s="93">
        <f>-Financials!$J$220</f>
        <v>11781</v>
      </c>
      <c r="G29" s="93">
        <f>-Financials!$J$220</f>
        <v>11781</v>
      </c>
      <c r="H29" s="93">
        <f>-Financials!$J$220</f>
        <v>11781</v>
      </c>
      <c r="I29" s="93">
        <f>-Financials!$J$220</f>
        <v>11781</v>
      </c>
      <c r="J29" s="93">
        <f>-Financials!$J$220</f>
        <v>11781</v>
      </c>
      <c r="K29" s="93">
        <f>-Financials!$J$220</f>
        <v>11781</v>
      </c>
    </row>
    <row r="30" spans="2:11" s="90" customFormat="1" x14ac:dyDescent="0.3">
      <c r="B30" s="96" t="s">
        <v>236</v>
      </c>
      <c r="C30" s="93">
        <f>-Financials!$J$212</f>
        <v>-2338</v>
      </c>
      <c r="D30" s="93">
        <f>-Financials!$J$212</f>
        <v>-2338</v>
      </c>
      <c r="E30" s="93">
        <f>-Financials!$J$212</f>
        <v>-2338</v>
      </c>
      <c r="F30" s="93">
        <f>-Financials!$J$212</f>
        <v>-2338</v>
      </c>
      <c r="G30" s="93">
        <f>-Financials!$J$212</f>
        <v>-2338</v>
      </c>
      <c r="H30" s="93">
        <f>-Financials!$J$212</f>
        <v>-2338</v>
      </c>
      <c r="I30" s="93">
        <f>-Financials!$J$212</f>
        <v>-2338</v>
      </c>
      <c r="J30" s="93">
        <f>-Financials!$J$212</f>
        <v>-2338</v>
      </c>
      <c r="K30" s="93">
        <f>-Financials!$J$212</f>
        <v>-2338</v>
      </c>
    </row>
    <row r="31" spans="2:11" s="90" customFormat="1" x14ac:dyDescent="0.3">
      <c r="B31" s="96" t="s">
        <v>208</v>
      </c>
      <c r="C31" s="94">
        <v>-10558</v>
      </c>
      <c r="D31" s="94">
        <v>-10558</v>
      </c>
      <c r="E31" s="94">
        <v>-10558</v>
      </c>
      <c r="F31" s="94">
        <v>-10558</v>
      </c>
      <c r="G31" s="94">
        <v>-10558</v>
      </c>
      <c r="H31" s="94">
        <v>-10558</v>
      </c>
      <c r="I31" s="94">
        <v>-10558</v>
      </c>
      <c r="J31" s="94">
        <v>-10558</v>
      </c>
      <c r="K31" s="94">
        <v>-10558</v>
      </c>
    </row>
    <row r="32" spans="2:11" s="90" customFormat="1" ht="3" customHeight="1" thickBot="1" x14ac:dyDescent="0.35">
      <c r="B32" s="92"/>
      <c r="C32" s="97"/>
      <c r="D32" s="97"/>
      <c r="E32" s="97"/>
      <c r="F32" s="97"/>
      <c r="G32" s="97"/>
      <c r="H32" s="97"/>
      <c r="I32" s="97"/>
      <c r="J32" s="97"/>
      <c r="K32" s="97"/>
    </row>
    <row r="33" spans="2:11" s="90" customFormat="1" ht="14.25" thickBot="1" x14ac:dyDescent="0.35">
      <c r="B33" s="98" t="s">
        <v>209</v>
      </c>
      <c r="C33" s="85">
        <f t="shared" ref="C33:K33" si="2">SUM(C26:C32)</f>
        <v>1889</v>
      </c>
      <c r="D33" s="102">
        <f t="shared" si="2"/>
        <v>4620.5</v>
      </c>
      <c r="E33" s="100">
        <f t="shared" si="2"/>
        <v>7352</v>
      </c>
      <c r="F33" s="85">
        <f t="shared" si="2"/>
        <v>10083.5</v>
      </c>
      <c r="G33" s="85">
        <f t="shared" si="2"/>
        <v>12815</v>
      </c>
      <c r="H33" s="85">
        <f t="shared" si="2"/>
        <v>15546.5</v>
      </c>
      <c r="I33" s="85">
        <f t="shared" si="2"/>
        <v>18278</v>
      </c>
      <c r="J33" s="85">
        <f t="shared" si="2"/>
        <v>21009.5</v>
      </c>
      <c r="K33" s="99">
        <f t="shared" si="2"/>
        <v>23741</v>
      </c>
    </row>
    <row r="34" spans="2:11" s="90" customFormat="1" x14ac:dyDescent="0.3">
      <c r="C34" s="92"/>
      <c r="D34" s="92"/>
      <c r="E34" s="92"/>
      <c r="F34" s="92"/>
      <c r="G34" s="92"/>
      <c r="H34" s="92"/>
      <c r="I34" s="92"/>
      <c r="J34" s="92"/>
      <c r="K34" s="92"/>
    </row>
    <row r="36" spans="2:11" x14ac:dyDescent="0.3">
      <c r="D36" s="101"/>
      <c r="E36" s="101"/>
      <c r="F36" s="101" t="s">
        <v>220</v>
      </c>
    </row>
  </sheetData>
  <pageMargins left="0.7" right="0.7" top="0.75" bottom="0.75" header="0.3" footer="0.3"/>
  <pageSetup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7"/>
  <sheetViews>
    <sheetView view="pageBreakPreview" zoomScaleNormal="85" zoomScaleSheetLayoutView="100" workbookViewId="0"/>
  </sheetViews>
  <sheetFormatPr defaultColWidth="15.875" defaultRowHeight="13.5" x14ac:dyDescent="0.3"/>
  <cols>
    <col min="1" max="1" width="1.625" style="135" customWidth="1"/>
    <col min="2" max="2" width="19.5" style="135" customWidth="1"/>
    <col min="3" max="7" width="17.875" style="136" customWidth="1"/>
    <col min="8" max="9" width="17.875" style="137" customWidth="1"/>
    <col min="10" max="11" width="17.875" style="135" customWidth="1"/>
    <col min="12" max="13" width="1.625" style="135" customWidth="1"/>
    <col min="14" max="16384" width="15.875" style="135"/>
  </cols>
  <sheetData>
    <row r="2" spans="2:14" x14ac:dyDescent="0.3">
      <c r="B2" s="176" t="s">
        <v>221</v>
      </c>
      <c r="C2" s="176"/>
      <c r="D2" s="176"/>
      <c r="E2" s="176"/>
      <c r="F2" s="176"/>
      <c r="G2" s="176"/>
      <c r="H2" s="176"/>
      <c r="I2" s="176"/>
      <c r="J2" s="176"/>
      <c r="K2" s="176"/>
    </row>
    <row r="4" spans="2:14" x14ac:dyDescent="0.3">
      <c r="B4" s="138" t="s">
        <v>38</v>
      </c>
    </row>
    <row r="5" spans="2:14" x14ac:dyDescent="0.3">
      <c r="B5" s="135" t="s">
        <v>39</v>
      </c>
    </row>
    <row r="6" spans="2:14" x14ac:dyDescent="0.3">
      <c r="B6" s="135" t="s">
        <v>40</v>
      </c>
    </row>
    <row r="7" spans="2:14" x14ac:dyDescent="0.3">
      <c r="B7" s="135" t="s">
        <v>41</v>
      </c>
    </row>
    <row r="10" spans="2:14" x14ac:dyDescent="0.3">
      <c r="B10" s="138" t="s">
        <v>42</v>
      </c>
    </row>
    <row r="11" spans="2:14" ht="6" customHeight="1" x14ac:dyDescent="0.3"/>
    <row r="12" spans="2:14" s="143" customFormat="1" x14ac:dyDescent="0.3">
      <c r="B12" s="139" t="s">
        <v>24</v>
      </c>
      <c r="C12" s="140" t="s">
        <v>2</v>
      </c>
      <c r="D12" s="140" t="s">
        <v>1</v>
      </c>
      <c r="E12" s="141" t="s">
        <v>3</v>
      </c>
      <c r="F12" s="140" t="s">
        <v>4</v>
      </c>
      <c r="G12" s="141" t="s">
        <v>34</v>
      </c>
      <c r="H12" s="142" t="s">
        <v>26</v>
      </c>
      <c r="N12" s="142" t="s">
        <v>5</v>
      </c>
    </row>
    <row r="13" spans="2:14" s="143" customFormat="1" x14ac:dyDescent="0.3">
      <c r="B13" s="144" t="s">
        <v>9</v>
      </c>
      <c r="C13" s="145">
        <v>0.2</v>
      </c>
      <c r="D13" s="145">
        <v>0</v>
      </c>
      <c r="E13" s="146">
        <f t="shared" ref="E13:E20" si="0">+C13+D13</f>
        <v>0.2</v>
      </c>
      <c r="F13" s="147"/>
      <c r="G13" s="148"/>
      <c r="H13" s="149" t="s">
        <v>44</v>
      </c>
      <c r="N13" s="150" t="s">
        <v>12</v>
      </c>
    </row>
    <row r="14" spans="2:14" s="143" customFormat="1" x14ac:dyDescent="0.3">
      <c r="B14" s="144" t="s">
        <v>15</v>
      </c>
      <c r="C14" s="151">
        <f t="shared" ref="C14:C20" si="1">E13</f>
        <v>0.2</v>
      </c>
      <c r="D14" s="145">
        <v>0.05</v>
      </c>
      <c r="E14" s="146">
        <f t="shared" si="0"/>
        <v>0.25</v>
      </c>
      <c r="F14" s="147" t="s">
        <v>25</v>
      </c>
      <c r="G14" s="148" t="s">
        <v>25</v>
      </c>
      <c r="H14" s="149" t="s">
        <v>35</v>
      </c>
      <c r="N14" s="150" t="s">
        <v>16</v>
      </c>
    </row>
    <row r="15" spans="2:14" s="143" customFormat="1" x14ac:dyDescent="0.3">
      <c r="B15" s="144" t="s">
        <v>19</v>
      </c>
      <c r="C15" s="151">
        <f t="shared" si="1"/>
        <v>0.25</v>
      </c>
      <c r="D15" s="145">
        <v>0.05</v>
      </c>
      <c r="E15" s="146">
        <f t="shared" si="0"/>
        <v>0.3</v>
      </c>
      <c r="F15" s="147" t="s">
        <v>25</v>
      </c>
      <c r="G15" s="148" t="s">
        <v>25</v>
      </c>
      <c r="H15" s="149" t="s">
        <v>36</v>
      </c>
      <c r="N15" s="150" t="s">
        <v>20</v>
      </c>
    </row>
    <row r="16" spans="2:14" s="143" customFormat="1" x14ac:dyDescent="0.3">
      <c r="B16" s="144" t="s">
        <v>8</v>
      </c>
      <c r="C16" s="151">
        <f t="shared" si="1"/>
        <v>0.3</v>
      </c>
      <c r="D16" s="145">
        <v>0.16</v>
      </c>
      <c r="E16" s="146">
        <f t="shared" si="0"/>
        <v>0.45999999999999996</v>
      </c>
      <c r="F16" s="152">
        <v>1268</v>
      </c>
      <c r="G16" s="153">
        <f>F16/D16</f>
        <v>7925</v>
      </c>
      <c r="H16" s="149" t="s">
        <v>47</v>
      </c>
      <c r="N16" s="150" t="s">
        <v>33</v>
      </c>
    </row>
    <row r="17" spans="2:14" s="143" customFormat="1" x14ac:dyDescent="0.3">
      <c r="B17" s="144" t="s">
        <v>0</v>
      </c>
      <c r="C17" s="151">
        <f t="shared" si="1"/>
        <v>0.45999999999999996</v>
      </c>
      <c r="D17" s="145">
        <v>0.06</v>
      </c>
      <c r="E17" s="146">
        <f t="shared" si="0"/>
        <v>0.52</v>
      </c>
      <c r="F17" s="152">
        <v>500</v>
      </c>
      <c r="G17" s="153">
        <f>F17/D17</f>
        <v>8333.3333333333339</v>
      </c>
      <c r="H17" s="149" t="s">
        <v>6</v>
      </c>
      <c r="N17" s="150" t="s">
        <v>7</v>
      </c>
    </row>
    <row r="18" spans="2:14" s="143" customFormat="1" x14ac:dyDescent="0.3">
      <c r="B18" s="144" t="s">
        <v>28</v>
      </c>
      <c r="C18" s="151">
        <f t="shared" si="1"/>
        <v>0.52</v>
      </c>
      <c r="D18" s="145">
        <v>1.4999999999999999E-2</v>
      </c>
      <c r="E18" s="146">
        <f t="shared" si="0"/>
        <v>0.53500000000000003</v>
      </c>
      <c r="F18" s="152">
        <v>125</v>
      </c>
      <c r="G18" s="153">
        <f>F18/D18</f>
        <v>8333.3333333333339</v>
      </c>
      <c r="H18" s="149" t="s">
        <v>29</v>
      </c>
      <c r="N18" s="150" t="s">
        <v>30</v>
      </c>
    </row>
    <row r="19" spans="2:14" s="143" customFormat="1" x14ac:dyDescent="0.3">
      <c r="B19" s="144" t="s">
        <v>32</v>
      </c>
      <c r="C19" s="151">
        <f t="shared" si="1"/>
        <v>0.53500000000000003</v>
      </c>
      <c r="D19" s="145">
        <v>0.05</v>
      </c>
      <c r="E19" s="146">
        <f t="shared" si="0"/>
        <v>0.58500000000000008</v>
      </c>
      <c r="F19" s="147" t="s">
        <v>25</v>
      </c>
      <c r="G19" s="148" t="s">
        <v>25</v>
      </c>
      <c r="H19" s="149" t="s">
        <v>37</v>
      </c>
      <c r="N19" s="150" t="s">
        <v>31</v>
      </c>
    </row>
    <row r="20" spans="2:14" s="143" customFormat="1" x14ac:dyDescent="0.3">
      <c r="B20" s="144" t="s">
        <v>22</v>
      </c>
      <c r="C20" s="151">
        <f t="shared" si="1"/>
        <v>0.58500000000000008</v>
      </c>
      <c r="D20" s="145">
        <v>0.41499999999999998</v>
      </c>
      <c r="E20" s="146">
        <f t="shared" si="0"/>
        <v>1</v>
      </c>
      <c r="F20" s="152">
        <f>1900+1750+700</f>
        <v>4350</v>
      </c>
      <c r="G20" s="153">
        <f>F20/D20</f>
        <v>10481.927710843374</v>
      </c>
      <c r="H20" s="149" t="s">
        <v>21</v>
      </c>
      <c r="N20" s="150" t="s">
        <v>23</v>
      </c>
    </row>
    <row r="22" spans="2:14" s="143" customFormat="1" x14ac:dyDescent="0.3">
      <c r="B22" s="154" t="s">
        <v>48</v>
      </c>
      <c r="C22" s="155"/>
      <c r="D22" s="155"/>
      <c r="E22" s="155"/>
      <c r="F22" s="156"/>
      <c r="G22" s="157"/>
      <c r="H22" s="149"/>
      <c r="I22" s="145"/>
      <c r="J22" s="145"/>
      <c r="K22" s="145"/>
      <c r="L22" s="145"/>
      <c r="M22" s="145"/>
    </row>
    <row r="23" spans="2:14" s="143" customFormat="1" ht="16.5" customHeight="1" x14ac:dyDescent="0.3">
      <c r="B23" s="177" t="s">
        <v>27</v>
      </c>
      <c r="C23" s="177"/>
      <c r="D23" s="177"/>
      <c r="E23" s="177"/>
      <c r="F23" s="177"/>
      <c r="G23" s="177"/>
      <c r="H23" s="177"/>
      <c r="I23" s="145"/>
      <c r="J23" s="145"/>
      <c r="K23" s="145"/>
      <c r="L23" s="145"/>
      <c r="M23" s="145"/>
    </row>
    <row r="24" spans="2:14" s="143" customFormat="1" x14ac:dyDescent="0.3">
      <c r="B24" s="177"/>
      <c r="C24" s="177"/>
      <c r="D24" s="177"/>
      <c r="E24" s="177"/>
      <c r="F24" s="177"/>
      <c r="G24" s="177"/>
      <c r="H24" s="177"/>
      <c r="I24" s="145"/>
      <c r="J24" s="145"/>
      <c r="K24" s="145"/>
      <c r="L24" s="145"/>
      <c r="M24" s="145"/>
    </row>
    <row r="25" spans="2:14" s="143" customFormat="1" x14ac:dyDescent="0.3">
      <c r="B25" s="177"/>
      <c r="C25" s="177"/>
      <c r="D25" s="177"/>
      <c r="E25" s="177"/>
      <c r="F25" s="177"/>
      <c r="G25" s="177"/>
      <c r="H25" s="177"/>
      <c r="I25" s="145"/>
      <c r="J25" s="145"/>
      <c r="K25" s="145"/>
      <c r="L25" s="145"/>
      <c r="M25" s="145"/>
    </row>
    <row r="26" spans="2:14" s="143" customFormat="1" x14ac:dyDescent="0.3">
      <c r="B26" s="177"/>
      <c r="C26" s="177"/>
      <c r="D26" s="177"/>
      <c r="E26" s="177"/>
      <c r="F26" s="177"/>
      <c r="G26" s="177"/>
      <c r="H26" s="177"/>
      <c r="I26" s="158"/>
    </row>
    <row r="27" spans="2:14" s="143" customFormat="1" x14ac:dyDescent="0.3">
      <c r="B27" s="177"/>
      <c r="C27" s="177"/>
      <c r="D27" s="177"/>
      <c r="E27" s="177"/>
      <c r="F27" s="177"/>
      <c r="G27" s="177"/>
      <c r="H27" s="177"/>
      <c r="I27" s="158"/>
    </row>
    <row r="28" spans="2:14" s="143" customFormat="1" x14ac:dyDescent="0.3">
      <c r="B28" s="177"/>
      <c r="C28" s="177"/>
      <c r="D28" s="177"/>
      <c r="E28" s="177"/>
      <c r="F28" s="177"/>
      <c r="G28" s="177"/>
      <c r="H28" s="177"/>
      <c r="I28" s="158"/>
    </row>
    <row r="29" spans="2:14" s="143" customFormat="1" x14ac:dyDescent="0.3">
      <c r="B29" s="177"/>
      <c r="C29" s="177"/>
      <c r="D29" s="177"/>
      <c r="E29" s="177"/>
      <c r="F29" s="177"/>
      <c r="G29" s="177"/>
      <c r="H29" s="177"/>
      <c r="I29" s="158"/>
    </row>
    <row r="30" spans="2:14" s="143" customFormat="1" x14ac:dyDescent="0.3">
      <c r="B30" s="177"/>
      <c r="C30" s="177"/>
      <c r="D30" s="177"/>
      <c r="E30" s="177"/>
      <c r="F30" s="177"/>
      <c r="G30" s="177"/>
      <c r="H30" s="177"/>
      <c r="I30" s="158"/>
    </row>
    <row r="31" spans="2:14" s="143" customFormat="1" x14ac:dyDescent="0.3">
      <c r="B31" s="177"/>
      <c r="C31" s="177"/>
      <c r="D31" s="177"/>
      <c r="E31" s="177"/>
      <c r="F31" s="177"/>
      <c r="G31" s="177"/>
      <c r="H31" s="177"/>
      <c r="I31" s="158"/>
    </row>
    <row r="32" spans="2:14" s="143" customFormat="1" x14ac:dyDescent="0.3">
      <c r="B32" s="177"/>
      <c r="C32" s="177"/>
      <c r="D32" s="177"/>
      <c r="E32" s="177"/>
      <c r="F32" s="177"/>
      <c r="G32" s="177"/>
      <c r="H32" s="177"/>
      <c r="I32" s="158"/>
    </row>
    <row r="33" spans="2:11" s="143" customFormat="1" x14ac:dyDescent="0.3">
      <c r="B33" s="177"/>
      <c r="C33" s="177"/>
      <c r="D33" s="177"/>
      <c r="E33" s="177"/>
      <c r="F33" s="177"/>
      <c r="G33" s="177"/>
      <c r="H33" s="177"/>
      <c r="I33" s="158"/>
    </row>
    <row r="34" spans="2:11" s="143" customFormat="1" x14ac:dyDescent="0.3">
      <c r="B34" s="177"/>
      <c r="C34" s="177"/>
      <c r="D34" s="177"/>
      <c r="E34" s="177"/>
      <c r="F34" s="177"/>
      <c r="G34" s="177"/>
      <c r="H34" s="177"/>
      <c r="I34" s="158"/>
    </row>
    <row r="35" spans="2:11" s="143" customFormat="1" x14ac:dyDescent="0.3">
      <c r="B35" s="144"/>
      <c r="C35" s="155"/>
      <c r="D35" s="155"/>
      <c r="E35" s="155"/>
      <c r="F35" s="156"/>
      <c r="G35" s="157"/>
      <c r="H35" s="149"/>
      <c r="I35" s="158"/>
    </row>
    <row r="37" spans="2:11" x14ac:dyDescent="0.3">
      <c r="B37" s="138" t="s">
        <v>43</v>
      </c>
    </row>
    <row r="38" spans="2:11" ht="6" customHeight="1" x14ac:dyDescent="0.3"/>
    <row r="39" spans="2:11" s="143" customFormat="1" x14ac:dyDescent="0.3">
      <c r="B39" s="139" t="s">
        <v>18</v>
      </c>
      <c r="C39" s="159" t="str">
        <f>B13</f>
        <v>April 30, 2009</v>
      </c>
      <c r="D39" s="159" t="str">
        <f>B13</f>
        <v>April 30, 2009</v>
      </c>
      <c r="E39" s="159" t="str">
        <f>B14</f>
        <v>January 10, 2011</v>
      </c>
      <c r="F39" s="159" t="str">
        <f>B15</f>
        <v>April 12, 2011</v>
      </c>
      <c r="G39" s="159" t="str">
        <f>B16</f>
        <v>April 21, 2011</v>
      </c>
      <c r="H39" s="159" t="str">
        <f>B17</f>
        <v>June 3, 2011</v>
      </c>
      <c r="I39" s="159" t="str">
        <f>B18</f>
        <v>July 21, 2011</v>
      </c>
      <c r="J39" s="159" t="str">
        <f>B19</f>
        <v>January 5, 2012</v>
      </c>
      <c r="K39" s="159" t="str">
        <f>B20</f>
        <v>January 1, 2014</v>
      </c>
    </row>
    <row r="40" spans="2:11" s="143" customFormat="1" x14ac:dyDescent="0.3">
      <c r="B40" s="144" t="s">
        <v>11</v>
      </c>
      <c r="C40" s="145">
        <v>0.55000000000000004</v>
      </c>
      <c r="D40" s="145">
        <f>C40/$C$45</f>
        <v>0.6470588235294118</v>
      </c>
      <c r="E40" s="145">
        <v>0.63500000000000001</v>
      </c>
      <c r="F40" s="145">
        <v>0.59199999999999997</v>
      </c>
      <c r="G40" s="145">
        <v>0.46500000000000002</v>
      </c>
      <c r="H40" s="145">
        <v>0.46500000000000002</v>
      </c>
      <c r="I40" s="145">
        <v>0.46500000000000002</v>
      </c>
      <c r="J40" s="145">
        <v>0.41499999999999998</v>
      </c>
      <c r="K40" s="145">
        <v>0</v>
      </c>
    </row>
    <row r="41" spans="2:11" s="143" customFormat="1" x14ac:dyDescent="0.3">
      <c r="B41" s="160" t="s">
        <v>10</v>
      </c>
      <c r="C41" s="161">
        <v>0.2</v>
      </c>
      <c r="D41" s="161">
        <f>C41/$C$45</f>
        <v>0.23529411764705885</v>
      </c>
      <c r="E41" s="161">
        <v>0.25</v>
      </c>
      <c r="F41" s="161">
        <v>0.3</v>
      </c>
      <c r="G41" s="161">
        <v>0.46</v>
      </c>
      <c r="H41" s="161">
        <v>0.52</v>
      </c>
      <c r="I41" s="161">
        <v>0.53500000000000003</v>
      </c>
      <c r="J41" s="161">
        <v>0.58499999999999996</v>
      </c>
      <c r="K41" s="161">
        <v>1</v>
      </c>
    </row>
    <row r="42" spans="2:11" s="143" customFormat="1" x14ac:dyDescent="0.3">
      <c r="B42" s="144" t="s">
        <v>14</v>
      </c>
      <c r="C42" s="145">
        <v>0.08</v>
      </c>
      <c r="D42" s="145">
        <f>C42/$C$45</f>
        <v>9.4117647058823528E-2</v>
      </c>
      <c r="E42" s="145">
        <v>9.1999999999999998E-2</v>
      </c>
      <c r="F42" s="145">
        <v>8.5999999999999993E-2</v>
      </c>
      <c r="G42" s="145">
        <v>0.06</v>
      </c>
      <c r="H42" s="145">
        <v>0</v>
      </c>
      <c r="I42" s="145">
        <v>0</v>
      </c>
      <c r="J42" s="145">
        <v>0</v>
      </c>
      <c r="K42" s="145">
        <v>0</v>
      </c>
    </row>
    <row r="43" spans="2:11" s="143" customFormat="1" x14ac:dyDescent="0.3">
      <c r="B43" s="144" t="s">
        <v>13</v>
      </c>
      <c r="C43" s="145">
        <v>0.02</v>
      </c>
      <c r="D43" s="145">
        <f>C43/$C$45</f>
        <v>2.3529411764705882E-2</v>
      </c>
      <c r="E43" s="145">
        <v>2.3E-2</v>
      </c>
      <c r="F43" s="145">
        <v>2.1999999999999999E-2</v>
      </c>
      <c r="G43" s="145">
        <v>1.4999999999999999E-2</v>
      </c>
      <c r="H43" s="145">
        <v>1.4999999999999999E-2</v>
      </c>
      <c r="I43" s="145">
        <v>0</v>
      </c>
      <c r="J43" s="145">
        <v>0</v>
      </c>
      <c r="K43" s="145">
        <v>0</v>
      </c>
    </row>
    <row r="44" spans="2:11" s="143" customFormat="1" ht="4.5" customHeight="1" x14ac:dyDescent="0.3">
      <c r="B44" s="162"/>
      <c r="C44" s="163"/>
      <c r="D44" s="163"/>
      <c r="E44" s="163"/>
      <c r="F44" s="163"/>
      <c r="G44" s="163"/>
      <c r="H44" s="163"/>
      <c r="I44" s="163"/>
      <c r="J44" s="163"/>
      <c r="K44" s="163"/>
    </row>
    <row r="45" spans="2:11" s="143" customFormat="1" x14ac:dyDescent="0.3">
      <c r="B45" s="144" t="s">
        <v>17</v>
      </c>
      <c r="C45" s="151">
        <f t="shared" ref="C45:H45" si="2">SUM(C40:C44)</f>
        <v>0.85</v>
      </c>
      <c r="D45" s="151">
        <f t="shared" si="2"/>
        <v>1</v>
      </c>
      <c r="E45" s="151">
        <f t="shared" si="2"/>
        <v>1</v>
      </c>
      <c r="F45" s="151">
        <f t="shared" si="2"/>
        <v>0.99999999999999989</v>
      </c>
      <c r="G45" s="151">
        <f t="shared" si="2"/>
        <v>1</v>
      </c>
      <c r="H45" s="151">
        <f t="shared" si="2"/>
        <v>1</v>
      </c>
      <c r="I45" s="151">
        <f t="shared" ref="I45:K45" si="3">SUM(I40:I44)</f>
        <v>1</v>
      </c>
      <c r="J45" s="151">
        <f t="shared" si="3"/>
        <v>1</v>
      </c>
      <c r="K45" s="151">
        <f t="shared" si="3"/>
        <v>1</v>
      </c>
    </row>
    <row r="47" spans="2:11" x14ac:dyDescent="0.3">
      <c r="C47" s="136" t="s">
        <v>45</v>
      </c>
      <c r="D47" s="136" t="s">
        <v>46</v>
      </c>
    </row>
  </sheetData>
  <mergeCells count="1">
    <mergeCell ref="B23:H34"/>
  </mergeCells>
  <hyperlinks>
    <hyperlink ref="N17" r:id="rId1"/>
    <hyperlink ref="N13" r:id="rId2"/>
    <hyperlink ref="N14" r:id="rId3"/>
    <hyperlink ref="N15" r:id="rId4"/>
    <hyperlink ref="N18" r:id="rId5"/>
    <hyperlink ref="N20" r:id="rId6"/>
    <hyperlink ref="N19" r:id="rId7"/>
    <hyperlink ref="N16" r:id="rId8"/>
  </hyperlinks>
  <pageMargins left="0.7" right="0.7" top="0.75" bottom="0.75" header="0.3" footer="0.3"/>
  <pageSetup scale="47"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vt:lpstr>
      <vt:lpstr>Financials</vt:lpstr>
      <vt:lpstr>DCF</vt:lpstr>
      <vt:lpstr>Comps</vt:lpstr>
      <vt:lpstr>Precedents</vt:lpstr>
      <vt:lpstr>Comps!Print_Area</vt:lpstr>
      <vt:lpstr>DCF!Print_Area</vt:lpstr>
      <vt:lpstr>Financials!Print_Area</vt:lpstr>
      <vt:lpstr>Precedents!Print_Area</vt:lpstr>
      <vt:lpstr>Summary!Print_Area</vt:lpstr>
    </vt:vector>
  </TitlesOfParts>
  <Company>CIBC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Boivin, Philippe - Corporate Banking</dc:creator>
  <cp:lastModifiedBy>Boivin, Philippe - Corporate Banking</cp:lastModifiedBy>
  <cp:lastPrinted>2015-12-04T19:43:30Z</cp:lastPrinted>
  <dcterms:created xsi:type="dcterms:W3CDTF">2015-07-27T14:41:25Z</dcterms:created>
  <dcterms:modified xsi:type="dcterms:W3CDTF">2015-12-04T19:43:42Z</dcterms:modified>
</cp:coreProperties>
</file>