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er\Desktop\"/>
    </mc:Choice>
  </mc:AlternateContent>
  <bookViews>
    <workbookView xWindow="0" yWindow="0" windowWidth="17145" windowHeight="16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156" i="1" l="1"/>
  <c r="M155" i="1"/>
  <c r="P154" i="1"/>
  <c r="O154" i="1"/>
  <c r="N154" i="1"/>
  <c r="M154" i="1"/>
  <c r="N153" i="1"/>
  <c r="O153" i="1"/>
  <c r="P153" i="1"/>
  <c r="M153" i="1"/>
  <c r="F146" i="1"/>
  <c r="G146" i="1"/>
  <c r="H146" i="1"/>
  <c r="I146" i="1"/>
  <c r="J146" i="1"/>
  <c r="K146" i="1"/>
  <c r="M146" i="1"/>
  <c r="E146" i="1"/>
  <c r="E142" i="1"/>
  <c r="F142" i="1"/>
  <c r="G142" i="1"/>
  <c r="H142" i="1"/>
  <c r="I142" i="1"/>
  <c r="J142" i="1"/>
  <c r="K142" i="1"/>
  <c r="D142" i="1"/>
  <c r="E141" i="1"/>
  <c r="F141" i="1"/>
  <c r="G141" i="1"/>
  <c r="H141" i="1"/>
  <c r="I141" i="1"/>
  <c r="J141" i="1"/>
  <c r="K141" i="1"/>
  <c r="D141" i="1"/>
  <c r="E60" i="1"/>
  <c r="E135" i="1" s="1"/>
  <c r="F60" i="1"/>
  <c r="G60" i="1"/>
  <c r="H60" i="1"/>
  <c r="H135" i="1" s="1"/>
  <c r="I60" i="1"/>
  <c r="I135" i="1" s="1"/>
  <c r="J60" i="1"/>
  <c r="J135" i="1" s="1"/>
  <c r="K60" i="1"/>
  <c r="M60" i="1"/>
  <c r="M135" i="1" s="1"/>
  <c r="N60" i="1"/>
  <c r="N135" i="1" s="1"/>
  <c r="O60" i="1"/>
  <c r="P60" i="1"/>
  <c r="P135" i="1" s="1"/>
  <c r="D60" i="1"/>
  <c r="E133" i="1"/>
  <c r="F133" i="1"/>
  <c r="G133" i="1"/>
  <c r="H133" i="1"/>
  <c r="I133" i="1"/>
  <c r="J133" i="1"/>
  <c r="K133" i="1"/>
  <c r="D133" i="1"/>
  <c r="J109" i="1"/>
  <c r="K109" i="1"/>
  <c r="K110" i="1"/>
  <c r="K111" i="1"/>
  <c r="J113" i="1"/>
  <c r="J115" i="1" s="1"/>
  <c r="K113" i="1"/>
  <c r="K115" i="1" s="1"/>
  <c r="K117" i="1"/>
  <c r="K118" i="1"/>
  <c r="J119" i="1"/>
  <c r="J120" i="1" s="1"/>
  <c r="K119" i="1"/>
  <c r="K120" i="1"/>
  <c r="J122" i="1"/>
  <c r="K122" i="1"/>
  <c r="J123" i="1"/>
  <c r="K123" i="1"/>
  <c r="J124" i="1"/>
  <c r="K124" i="1"/>
  <c r="K126" i="1"/>
  <c r="N71" i="1"/>
  <c r="N67" i="1" s="1"/>
  <c r="M71" i="1"/>
  <c r="M67" i="1" s="1"/>
  <c r="M70" i="1" s="1"/>
  <c r="M65" i="1"/>
  <c r="N65" i="1" s="1"/>
  <c r="O65" i="1" s="1"/>
  <c r="P65" i="1" s="1"/>
  <c r="E124" i="1"/>
  <c r="F124" i="1"/>
  <c r="G124" i="1"/>
  <c r="H124" i="1"/>
  <c r="I124" i="1"/>
  <c r="D124" i="1"/>
  <c r="E123" i="1"/>
  <c r="F123" i="1"/>
  <c r="G123" i="1"/>
  <c r="H123" i="1"/>
  <c r="I123" i="1"/>
  <c r="D123" i="1"/>
  <c r="E122" i="1"/>
  <c r="F122" i="1"/>
  <c r="G122" i="1"/>
  <c r="H122" i="1"/>
  <c r="I122" i="1"/>
  <c r="D122" i="1"/>
  <c r="E119" i="1"/>
  <c r="E120" i="1" s="1"/>
  <c r="F119" i="1"/>
  <c r="F120" i="1" s="1"/>
  <c r="G119" i="1"/>
  <c r="G120" i="1" s="1"/>
  <c r="H119" i="1"/>
  <c r="I119" i="1"/>
  <c r="H120" i="1"/>
  <c r="I120" i="1"/>
  <c r="D119" i="1"/>
  <c r="D120" i="1" s="1"/>
  <c r="I115" i="1"/>
  <c r="E113" i="1"/>
  <c r="E115" i="1" s="1"/>
  <c r="F113" i="1"/>
  <c r="F115" i="1" s="1"/>
  <c r="G113" i="1"/>
  <c r="G115" i="1" s="1"/>
  <c r="H113" i="1"/>
  <c r="H115" i="1" s="1"/>
  <c r="I113" i="1"/>
  <c r="D113" i="1"/>
  <c r="D115" i="1" s="1"/>
  <c r="E109" i="1"/>
  <c r="F109" i="1"/>
  <c r="G109" i="1"/>
  <c r="H109" i="1"/>
  <c r="I109" i="1"/>
  <c r="D109" i="1"/>
  <c r="F135" i="1" l="1"/>
  <c r="O71" i="1"/>
  <c r="O135" i="1"/>
  <c r="K135" i="1"/>
  <c r="G135" i="1"/>
  <c r="N70" i="1"/>
  <c r="M16" i="1"/>
  <c r="N16" i="1"/>
  <c r="O16" i="1"/>
  <c r="M13" i="1"/>
  <c r="M19" i="1" s="1"/>
  <c r="N9" i="1"/>
  <c r="N142" i="1" s="1"/>
  <c r="O9" i="1"/>
  <c r="O142" i="1" s="1"/>
  <c r="P9" i="1"/>
  <c r="P142" i="1" s="1"/>
  <c r="M9" i="1"/>
  <c r="M142" i="1" s="1"/>
  <c r="M7" i="1"/>
  <c r="I28" i="1"/>
  <c r="O113" i="1" l="1"/>
  <c r="P146" i="1"/>
  <c r="P71" i="1"/>
  <c r="O67" i="1"/>
  <c r="O70" i="1" s="1"/>
  <c r="O146" i="1"/>
  <c r="N113" i="1"/>
  <c r="N146" i="1"/>
  <c r="M113" i="1"/>
  <c r="M50" i="1"/>
  <c r="N7" i="1"/>
  <c r="M8" i="1"/>
  <c r="J70" i="1"/>
  <c r="J74" i="1" s="1"/>
  <c r="I70" i="1"/>
  <c r="I74" i="1" s="1"/>
  <c r="H70" i="1"/>
  <c r="H74" i="1" s="1"/>
  <c r="G70" i="1"/>
  <c r="G74" i="1" s="1"/>
  <c r="F70" i="1"/>
  <c r="F74" i="1" s="1"/>
  <c r="E70" i="1"/>
  <c r="E74" i="1" s="1"/>
  <c r="D70" i="1"/>
  <c r="D74" i="1" s="1"/>
  <c r="D76" i="1" s="1"/>
  <c r="J56" i="1"/>
  <c r="I56" i="1"/>
  <c r="H56" i="1"/>
  <c r="H126" i="1" s="1"/>
  <c r="G56" i="1"/>
  <c r="G126" i="1" s="1"/>
  <c r="F56" i="1"/>
  <c r="E56" i="1"/>
  <c r="D56" i="1"/>
  <c r="E76" i="1" l="1"/>
  <c r="E137" i="1"/>
  <c r="E147" i="1"/>
  <c r="P67" i="1"/>
  <c r="P70" i="1" s="1"/>
  <c r="P16" i="1"/>
  <c r="P113" i="1" s="1"/>
  <c r="I61" i="1"/>
  <c r="I126" i="1"/>
  <c r="G76" i="1"/>
  <c r="G147" i="1"/>
  <c r="G137" i="1"/>
  <c r="H76" i="1"/>
  <c r="H147" i="1"/>
  <c r="H137" i="1"/>
  <c r="M122" i="1"/>
  <c r="J117" i="1"/>
  <c r="J126" i="1"/>
  <c r="I76" i="1"/>
  <c r="I147" i="1"/>
  <c r="I137" i="1"/>
  <c r="E126" i="1"/>
  <c r="J76" i="1"/>
  <c r="K137" i="1"/>
  <c r="J147" i="1"/>
  <c r="K147" i="1"/>
  <c r="J137" i="1"/>
  <c r="F76" i="1"/>
  <c r="F137" i="1"/>
  <c r="F147" i="1"/>
  <c r="D126" i="1"/>
  <c r="F126" i="1"/>
  <c r="M51" i="1"/>
  <c r="M123" i="1" s="1"/>
  <c r="M124" i="1"/>
  <c r="J61" i="1"/>
  <c r="I117" i="1"/>
  <c r="D61" i="1"/>
  <c r="D117" i="1"/>
  <c r="D118" i="1" s="1"/>
  <c r="O7" i="1"/>
  <c r="N8" i="1"/>
  <c r="N13" i="1"/>
  <c r="N19" i="1" s="1"/>
  <c r="N50" i="1"/>
  <c r="N122" i="1" s="1"/>
  <c r="E61" i="1"/>
  <c r="E117" i="1"/>
  <c r="F61" i="1"/>
  <c r="F117" i="1"/>
  <c r="G61" i="1"/>
  <c r="G117" i="1"/>
  <c r="H61" i="1"/>
  <c r="H117" i="1"/>
  <c r="M10" i="1"/>
  <c r="M20" i="1" s="1"/>
  <c r="M141" i="1" s="1"/>
  <c r="I105" i="1"/>
  <c r="H105" i="1"/>
  <c r="G105" i="1"/>
  <c r="F105" i="1"/>
  <c r="E105" i="1"/>
  <c r="D105" i="1"/>
  <c r="J28" i="1"/>
  <c r="J103" i="1" s="1"/>
  <c r="I103" i="1"/>
  <c r="H28" i="1"/>
  <c r="H103" i="1" s="1"/>
  <c r="G28" i="1"/>
  <c r="G103" i="1" s="1"/>
  <c r="F28" i="1"/>
  <c r="F103" i="1" s="1"/>
  <c r="E28" i="1"/>
  <c r="E103" i="1" s="1"/>
  <c r="D28" i="1"/>
  <c r="D103" i="1" s="1"/>
  <c r="J101" i="1"/>
  <c r="J99" i="1"/>
  <c r="J98" i="1"/>
  <c r="J95" i="1"/>
  <c r="J94" i="1"/>
  <c r="J92" i="1"/>
  <c r="J91" i="1"/>
  <c r="J90" i="1"/>
  <c r="J88" i="1"/>
  <c r="J85" i="1"/>
  <c r="J84" i="1"/>
  <c r="J83" i="1"/>
  <c r="J118" i="1" l="1"/>
  <c r="J144" i="1"/>
  <c r="J145" i="1" s="1"/>
  <c r="J148" i="1" s="1"/>
  <c r="J134" i="1"/>
  <c r="K144" i="1"/>
  <c r="K145" i="1" s="1"/>
  <c r="K148" i="1" s="1"/>
  <c r="K134" i="1"/>
  <c r="H118" i="1"/>
  <c r="H144" i="1"/>
  <c r="H145" i="1" s="1"/>
  <c r="H148" i="1" s="1"/>
  <c r="H134" i="1"/>
  <c r="E118" i="1"/>
  <c r="E134" i="1"/>
  <c r="E144" i="1"/>
  <c r="E145" i="1" s="1"/>
  <c r="E148" i="1" s="1"/>
  <c r="M56" i="1"/>
  <c r="N56" i="1"/>
  <c r="N51" i="1"/>
  <c r="N119" i="1" s="1"/>
  <c r="N120" i="1" s="1"/>
  <c r="N124" i="1"/>
  <c r="N123" i="1"/>
  <c r="O122" i="1"/>
  <c r="G118" i="1"/>
  <c r="G144" i="1"/>
  <c r="G145" i="1" s="1"/>
  <c r="G148" i="1" s="1"/>
  <c r="G134" i="1"/>
  <c r="I118" i="1"/>
  <c r="I134" i="1"/>
  <c r="I144" i="1"/>
  <c r="I145" i="1" s="1"/>
  <c r="I148" i="1" s="1"/>
  <c r="M119" i="1"/>
  <c r="M120" i="1" s="1"/>
  <c r="F118" i="1"/>
  <c r="F144" i="1"/>
  <c r="F145" i="1" s="1"/>
  <c r="F148" i="1" s="1"/>
  <c r="F134" i="1"/>
  <c r="J110" i="1"/>
  <c r="J111" i="1"/>
  <c r="N10" i="1"/>
  <c r="N20" i="1" s="1"/>
  <c r="N141" i="1" s="1"/>
  <c r="P7" i="1"/>
  <c r="O13" i="1"/>
  <c r="O19" i="1" s="1"/>
  <c r="O8" i="1"/>
  <c r="O50" i="1"/>
  <c r="D110" i="1"/>
  <c r="D111" i="1"/>
  <c r="G111" i="1"/>
  <c r="G110" i="1"/>
  <c r="E111" i="1"/>
  <c r="E110" i="1"/>
  <c r="I110" i="1"/>
  <c r="I111" i="1"/>
  <c r="H110" i="1"/>
  <c r="H111" i="1"/>
  <c r="F111" i="1"/>
  <c r="F110" i="1"/>
  <c r="M23" i="1"/>
  <c r="M73" i="1" s="1"/>
  <c r="M74" i="1" s="1"/>
  <c r="M28" i="1"/>
  <c r="M26" i="1" l="1"/>
  <c r="O51" i="1"/>
  <c r="O56" i="1" s="1"/>
  <c r="O124" i="1"/>
  <c r="O123" i="1"/>
  <c r="N117" i="1"/>
  <c r="N126" i="1"/>
  <c r="N61" i="1"/>
  <c r="N111" i="1" s="1"/>
  <c r="M137" i="1"/>
  <c r="M147" i="1"/>
  <c r="M76" i="1"/>
  <c r="M117" i="1"/>
  <c r="M126" i="1"/>
  <c r="M61" i="1"/>
  <c r="M111" i="1" s="1"/>
  <c r="P8" i="1"/>
  <c r="P13" i="1"/>
  <c r="P19" i="1" s="1"/>
  <c r="P50" i="1"/>
  <c r="P122" i="1" s="1"/>
  <c r="O10" i="1"/>
  <c r="O20" i="1" s="1"/>
  <c r="O141" i="1" s="1"/>
  <c r="N28" i="1"/>
  <c r="N23" i="1"/>
  <c r="O117" i="1" l="1"/>
  <c r="O126" i="1"/>
  <c r="O61" i="1"/>
  <c r="O111" i="1" s="1"/>
  <c r="P51" i="1"/>
  <c r="P124" i="1"/>
  <c r="P123" i="1"/>
  <c r="N26" i="1"/>
  <c r="N73" i="1"/>
  <c r="N74" i="1" s="1"/>
  <c r="P56" i="1"/>
  <c r="P119" i="1"/>
  <c r="P120" i="1" s="1"/>
  <c r="N118" i="1"/>
  <c r="N144" i="1"/>
  <c r="N145" i="1" s="1"/>
  <c r="N134" i="1"/>
  <c r="O119" i="1"/>
  <c r="O120" i="1" s="1"/>
  <c r="M115" i="1"/>
  <c r="M133" i="1"/>
  <c r="M109" i="1"/>
  <c r="M110" i="1"/>
  <c r="M134" i="1"/>
  <c r="M144" i="1"/>
  <c r="M145" i="1" s="1"/>
  <c r="M148" i="1" s="1"/>
  <c r="M118" i="1"/>
  <c r="O28" i="1"/>
  <c r="O23" i="1"/>
  <c r="P10" i="1"/>
  <c r="P20" i="1" s="1"/>
  <c r="P141" i="1" s="1"/>
  <c r="O26" i="1" l="1"/>
  <c r="O73" i="1"/>
  <c r="O74" i="1" s="1"/>
  <c r="P117" i="1"/>
  <c r="P126" i="1"/>
  <c r="P61" i="1"/>
  <c r="P111" i="1" s="1"/>
  <c r="N115" i="1"/>
  <c r="N133" i="1"/>
  <c r="N110" i="1"/>
  <c r="N109" i="1"/>
  <c r="N137" i="1"/>
  <c r="N147" i="1"/>
  <c r="N148" i="1" s="1"/>
  <c r="N76" i="1"/>
  <c r="O134" i="1"/>
  <c r="O118" i="1"/>
  <c r="O144" i="1"/>
  <c r="O145" i="1" s="1"/>
  <c r="P28" i="1"/>
  <c r="P23" i="1"/>
  <c r="P73" i="1" s="1"/>
  <c r="P74" i="1" s="1"/>
  <c r="P26" i="1"/>
  <c r="P133" i="1" l="1"/>
  <c r="P110" i="1"/>
  <c r="P115" i="1"/>
  <c r="P109" i="1"/>
  <c r="P118" i="1"/>
  <c r="P144" i="1"/>
  <c r="P145" i="1" s="1"/>
  <c r="P134" i="1"/>
  <c r="P76" i="1"/>
  <c r="P137" i="1"/>
  <c r="P147" i="1"/>
  <c r="O148" i="1"/>
  <c r="O76" i="1"/>
  <c r="O137" i="1"/>
  <c r="O147" i="1"/>
  <c r="O133" i="1"/>
  <c r="O110" i="1"/>
  <c r="O109" i="1"/>
  <c r="O115" i="1"/>
  <c r="P148" i="1" l="1"/>
</calcChain>
</file>

<file path=xl/sharedStrings.xml><?xml version="1.0" encoding="utf-8"?>
<sst xmlns="http://schemas.openxmlformats.org/spreadsheetml/2006/main" count="163" uniqueCount="128">
  <si>
    <t>INCOME STATEMENT</t>
  </si>
  <si>
    <t>Net Sales</t>
  </si>
  <si>
    <t>Amortization of PPE</t>
  </si>
  <si>
    <t>Gross Profit</t>
  </si>
  <si>
    <t>Cost of Goods Sold</t>
  </si>
  <si>
    <t>Expenses</t>
  </si>
  <si>
    <t>Earnings Before Income Taxes</t>
  </si>
  <si>
    <t>Income Taxes</t>
  </si>
  <si>
    <t xml:space="preserve">  Current</t>
  </si>
  <si>
    <t xml:space="preserve">   Future (recovery)</t>
  </si>
  <si>
    <t>Net Earnings</t>
  </si>
  <si>
    <t xml:space="preserve">  Selling, Administrative, Other</t>
  </si>
  <si>
    <t xml:space="preserve">  Amortization</t>
  </si>
  <si>
    <t xml:space="preserve">  Interest on Long Term Debt</t>
  </si>
  <si>
    <t xml:space="preserve">  Bank Indebtness</t>
  </si>
  <si>
    <t xml:space="preserve">  Foreign Exchange Loss</t>
  </si>
  <si>
    <t>Six months</t>
  </si>
  <si>
    <t>ended</t>
  </si>
  <si>
    <t>EBITDA</t>
  </si>
  <si>
    <t xml:space="preserve">  Unrealized foreign exchange</t>
  </si>
  <si>
    <t xml:space="preserve">  Retirement allowance</t>
  </si>
  <si>
    <t>Management</t>
  </si>
  <si>
    <t>Forecast</t>
  </si>
  <si>
    <t>Maintainable EBITDA from</t>
  </si>
  <si>
    <t xml:space="preserve">  operations</t>
  </si>
  <si>
    <t xml:space="preserve">  Retirement Allowance*</t>
  </si>
  <si>
    <t xml:space="preserve">  Increase in excise tax**</t>
  </si>
  <si>
    <t>*  The retirement allowance was a one-time payment in lieu of retirement plan for the now late retired Co-CEO</t>
  </si>
  <si>
    <t>** Assumption of impact of an additional 4% excise tax on gross sales that was effective in fiscal 2010.</t>
  </si>
  <si>
    <t>BALANCE SHEET</t>
  </si>
  <si>
    <t>As of January 31, unless otherwise noted</t>
  </si>
  <si>
    <t>Unaudited</t>
  </si>
  <si>
    <t>Assets</t>
  </si>
  <si>
    <t xml:space="preserve">  Current Assets</t>
  </si>
  <si>
    <t xml:space="preserve">    Cash and cash equivalents</t>
  </si>
  <si>
    <t xml:space="preserve">    Accounts receivable</t>
  </si>
  <si>
    <t xml:space="preserve">    Inventories</t>
  </si>
  <si>
    <t xml:space="preserve">    Biological assets</t>
  </si>
  <si>
    <t xml:space="preserve">    Income taxes receivable</t>
  </si>
  <si>
    <t xml:space="preserve">    Deferred income tax assets</t>
  </si>
  <si>
    <t xml:space="preserve">    Prepaid</t>
  </si>
  <si>
    <t xml:space="preserve">  Biological assets</t>
  </si>
  <si>
    <t xml:space="preserve">  Property, plant &amp; equipment</t>
  </si>
  <si>
    <t xml:space="preserve">  Winery licenses</t>
  </si>
  <si>
    <t>Liabilities and Shareholders' Equity</t>
  </si>
  <si>
    <t xml:space="preserve">  Current liabilities</t>
  </si>
  <si>
    <t xml:space="preserve">    Bank</t>
  </si>
  <si>
    <t xml:space="preserve">    Creditor and accrued accounts </t>
  </si>
  <si>
    <t xml:space="preserve">    Current portion, long-term debt</t>
  </si>
  <si>
    <t xml:space="preserve">    Current portion, retirement</t>
  </si>
  <si>
    <t xml:space="preserve">    Income tax payable</t>
  </si>
  <si>
    <t xml:space="preserve">  Long-term debt</t>
  </si>
  <si>
    <t xml:space="preserve">  Long-term retirement allowance</t>
  </si>
  <si>
    <t xml:space="preserve">  Deferred income tax liabilities</t>
  </si>
  <si>
    <t>Shareholders' Equity</t>
  </si>
  <si>
    <t>MAGNOTTA WINERIES</t>
  </si>
  <si>
    <t>Summary Financial Statements ($Canadian)</t>
  </si>
  <si>
    <t>Income Statement Items as</t>
  </si>
  <si>
    <t>% of Net Sales</t>
  </si>
  <si>
    <t>First semester</t>
  </si>
  <si>
    <t>Normalization (Pro Forma) ajustments</t>
  </si>
  <si>
    <t>Cash Flow from Operations***</t>
  </si>
  <si>
    <t>***Cash flow from operations, per audited financial statements.</t>
  </si>
  <si>
    <t>CASH FLOW</t>
  </si>
  <si>
    <t>E2012</t>
  </si>
  <si>
    <t>E2013</t>
  </si>
  <si>
    <t>E2014</t>
  </si>
  <si>
    <t>E2015</t>
  </si>
  <si>
    <t>Assuming 7% yoy growth as per average annual industry growth rate</t>
  </si>
  <si>
    <t>Assuming 58% of sales</t>
  </si>
  <si>
    <t>Assuming constant PPE and 2.5% amortization per year</t>
  </si>
  <si>
    <t>Assuming 19% of sales</t>
  </si>
  <si>
    <t>Assuming improved asset management of 1X (Cost of sales / Inventory)</t>
  </si>
  <si>
    <t>Working Capital</t>
  </si>
  <si>
    <t>Working Capital (% of sales)</t>
  </si>
  <si>
    <t>Non-Financial WC (% of sales)</t>
  </si>
  <si>
    <t>Non-Financial WC</t>
  </si>
  <si>
    <t>Assume cosntant value. No explaination provided</t>
  </si>
  <si>
    <t>Assuming 7% of long term debt</t>
  </si>
  <si>
    <t>Assuming 2% of sales</t>
  </si>
  <si>
    <t>Assuming arbitrary 100k per year</t>
  </si>
  <si>
    <t>DISCOUNTED CASH FLOW</t>
  </si>
  <si>
    <t>RATIOS</t>
  </si>
  <si>
    <t>ROE</t>
  </si>
  <si>
    <t>Net Profit</t>
  </si>
  <si>
    <t>Change in net working capital</t>
  </si>
  <si>
    <t>Change in investment assets</t>
  </si>
  <si>
    <t>Change in debt</t>
  </si>
  <si>
    <t>Free Cash Flow to Equity</t>
  </si>
  <si>
    <t>Using 28.8% average tax rate</t>
  </si>
  <si>
    <t>ROA</t>
  </si>
  <si>
    <t>Equity Multiplier</t>
  </si>
  <si>
    <t>NIPAT</t>
  </si>
  <si>
    <t>NOPAT</t>
  </si>
  <si>
    <t>Interest expese after tax</t>
  </si>
  <si>
    <t>No investment or interest income</t>
  </si>
  <si>
    <t>Trade Receivable turnover</t>
  </si>
  <si>
    <t>Inventory Turnover</t>
  </si>
  <si>
    <t>Trade Payable Turnover</t>
  </si>
  <si>
    <t>Current ratio</t>
  </si>
  <si>
    <t>Assuming 5% reduction yoy</t>
  </si>
  <si>
    <t>Assuming constant liability</t>
  </si>
  <si>
    <t>Assuming 12% of long-term debt</t>
  </si>
  <si>
    <t>Assuming 10% reduction yoy</t>
  </si>
  <si>
    <t>This is an exceptional expense. Excluded from analysis</t>
  </si>
  <si>
    <t>Assuming 70% of Income tax</t>
  </si>
  <si>
    <t>Assumptions with improved restructured operations</t>
  </si>
  <si>
    <t>Assume constant</t>
  </si>
  <si>
    <t>Change in net non-current operating assets</t>
  </si>
  <si>
    <t>Non-current asset</t>
  </si>
  <si>
    <t>No investment assets</t>
  </si>
  <si>
    <t>EIBT * (1 - t)</t>
  </si>
  <si>
    <t>Depreciation</t>
  </si>
  <si>
    <t>Capital Expenditure</t>
  </si>
  <si>
    <t>Change in Net Working Capital</t>
  </si>
  <si>
    <t>FCFF</t>
  </si>
  <si>
    <t>Interest expense * (1 - t)</t>
  </si>
  <si>
    <t>Increases in net debt</t>
  </si>
  <si>
    <t>CASH FLOW TO EQUITY</t>
  </si>
  <si>
    <t>Assume no cap ex</t>
  </si>
  <si>
    <t>FCFE</t>
  </si>
  <si>
    <t>Cost of Equity</t>
  </si>
  <si>
    <t>Period</t>
  </si>
  <si>
    <t>From Deloitte schedule 7</t>
  </si>
  <si>
    <t>Cash Flow to Equity</t>
  </si>
  <si>
    <t>PV</t>
  </si>
  <si>
    <t>Equity Value in 2011</t>
  </si>
  <si>
    <t>Per share (13,932,915 shares outstanding)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</si>
</sst>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00_-;\-* #,##0.0000_-;_-* &quot;-&quot;??_-;_-@_-"/>
    <numFmt numFmtId="167" formatCode="_-* #,##0.00000_-;\-* #,##0.0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164" fontId="3" fillId="2" borderId="1" xfId="1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  <xf numFmtId="0" fontId="0" fillId="2" borderId="0" xfId="0" applyFill="1"/>
    <xf numFmtId="15" fontId="3" fillId="2" borderId="1" xfId="0" applyNumberFormat="1" applyFont="1" applyFill="1" applyBorder="1"/>
    <xf numFmtId="0" fontId="2" fillId="3" borderId="0" xfId="0" applyFont="1" applyFill="1"/>
    <xf numFmtId="0" fontId="3" fillId="3" borderId="0" xfId="0" applyFont="1" applyFill="1"/>
    <xf numFmtId="0" fontId="0" fillId="3" borderId="0" xfId="0" applyFill="1"/>
    <xf numFmtId="0" fontId="2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1" xfId="0" applyFill="1" applyBorder="1"/>
    <xf numFmtId="164" fontId="3" fillId="3" borderId="1" xfId="1" applyNumberFormat="1" applyFont="1" applyFill="1" applyBorder="1" applyAlignment="1">
      <alignment horizontal="center"/>
    </xf>
    <xf numFmtId="15" fontId="3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4" fontId="3" fillId="3" borderId="1" xfId="1" applyNumberFormat="1" applyFont="1" applyFill="1" applyBorder="1"/>
    <xf numFmtId="167" fontId="3" fillId="3" borderId="1" xfId="1" applyNumberFormat="1" applyFont="1" applyFill="1" applyBorder="1"/>
    <xf numFmtId="164" fontId="3" fillId="3" borderId="1" xfId="0" applyNumberFormat="1" applyFont="1" applyFill="1" applyBorder="1"/>
    <xf numFmtId="164" fontId="0" fillId="3" borderId="1" xfId="0" applyNumberFormat="1" applyFill="1" applyBorder="1"/>
    <xf numFmtId="164" fontId="0" fillId="3" borderId="1" xfId="1" applyNumberFormat="1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0" fillId="4" borderId="1" xfId="0" applyFill="1" applyBorder="1"/>
    <xf numFmtId="164" fontId="3" fillId="4" borderId="1" xfId="1" applyNumberFormat="1" applyFont="1" applyFill="1" applyBorder="1"/>
    <xf numFmtId="0" fontId="0" fillId="4" borderId="0" xfId="0" applyFill="1"/>
    <xf numFmtId="0" fontId="3" fillId="4" borderId="1" xfId="0" applyFont="1" applyFill="1" applyBorder="1" applyAlignment="1">
      <alignment horizontal="center"/>
    </xf>
    <xf numFmtId="10" fontId="3" fillId="4" borderId="1" xfId="2" applyNumberFormat="1" applyFont="1" applyFill="1" applyBorder="1"/>
    <xf numFmtId="0" fontId="3" fillId="5" borderId="1" xfId="0" applyFont="1" applyFill="1" applyBorder="1"/>
    <xf numFmtId="0" fontId="0" fillId="5" borderId="1" xfId="0" applyFill="1" applyBorder="1"/>
    <xf numFmtId="0" fontId="0" fillId="5" borderId="0" xfId="0" applyFill="1"/>
    <xf numFmtId="164" fontId="3" fillId="5" borderId="1" xfId="0" applyNumberFormat="1" applyFont="1" applyFill="1" applyBorder="1"/>
    <xf numFmtId="166" fontId="3" fillId="3" borderId="1" xfId="1" applyNumberFormat="1" applyFont="1" applyFill="1" applyBorder="1"/>
    <xf numFmtId="165" fontId="3" fillId="3" borderId="1" xfId="1" applyNumberFormat="1" applyFont="1" applyFill="1" applyBorder="1"/>
    <xf numFmtId="165" fontId="3" fillId="2" borderId="1" xfId="1" applyNumberFormat="1" applyFont="1" applyFill="1" applyBorder="1"/>
    <xf numFmtId="164" fontId="3" fillId="2" borderId="1" xfId="1" applyNumberFormat="1" applyFont="1" applyFill="1" applyBorder="1" applyAlignment="1">
      <alignment horizontal="center"/>
    </xf>
    <xf numFmtId="0" fontId="2" fillId="5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10" fontId="3" fillId="6" borderId="1" xfId="2" applyNumberFormat="1" applyFont="1" applyFill="1" applyBorder="1"/>
    <xf numFmtId="0" fontId="0" fillId="6" borderId="1" xfId="0" applyFill="1" applyBorder="1"/>
    <xf numFmtId="164" fontId="3" fillId="6" borderId="1" xfId="1" applyNumberFormat="1" applyFont="1" applyFill="1" applyBorder="1"/>
    <xf numFmtId="0" fontId="0" fillId="6" borderId="0" xfId="0" applyFill="1"/>
    <xf numFmtId="2" fontId="3" fillId="6" borderId="1" xfId="2" applyNumberFormat="1" applyFont="1" applyFill="1" applyBorder="1"/>
    <xf numFmtId="1" fontId="3" fillId="6" borderId="1" xfId="2" applyNumberFormat="1" applyFont="1" applyFill="1" applyBorder="1"/>
    <xf numFmtId="164" fontId="3" fillId="6" borderId="1" xfId="2" applyNumberFormat="1" applyFont="1" applyFill="1" applyBorder="1"/>
    <xf numFmtId="165" fontId="3" fillId="6" borderId="1" xfId="1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0" fillId="3" borderId="0" xfId="0" applyFill="1" applyBorder="1"/>
    <xf numFmtId="0" fontId="3" fillId="2" borderId="1" xfId="0" applyFont="1" applyFill="1" applyBorder="1" applyAlignment="1">
      <alignment horizontal="left" indent="1"/>
    </xf>
    <xf numFmtId="164" fontId="3" fillId="5" borderId="1" xfId="1" applyNumberFormat="1" applyFon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4" fontId="0" fillId="2" borderId="1" xfId="1" applyNumberFormat="1" applyFont="1" applyFill="1" applyBorder="1"/>
    <xf numFmtId="43" fontId="0" fillId="2" borderId="1" xfId="0" applyNumberForma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6"/>
  <sheetViews>
    <sheetView tabSelected="1" workbookViewId="0">
      <selection activeCell="A157" sqref="A157"/>
    </sheetView>
  </sheetViews>
  <sheetFormatPr baseColWidth="10" defaultColWidth="9.140625" defaultRowHeight="15" x14ac:dyDescent="0.25"/>
  <cols>
    <col min="1" max="1" width="88.7109375" style="1" bestFit="1" customWidth="1"/>
    <col min="2" max="2" width="8.7109375" style="1"/>
    <col min="3" max="3" width="10" style="1" customWidth="1"/>
    <col min="4" max="4" width="13" style="1" bestFit="1" customWidth="1"/>
    <col min="5" max="9" width="12.42578125" style="1" bestFit="1" customWidth="1"/>
    <col min="10" max="10" width="12" style="1" hidden="1" customWidth="1"/>
    <col min="11" max="11" width="11.140625" hidden="1" customWidth="1"/>
    <col min="12" max="12" width="10.5703125" bestFit="1" customWidth="1"/>
    <col min="13" max="16" width="16.42578125" customWidth="1"/>
    <col min="17" max="17" width="78.140625" customWidth="1"/>
  </cols>
  <sheetData>
    <row r="1" spans="1:17" s="10" customFormat="1" x14ac:dyDescent="0.25">
      <c r="A1" s="8" t="s">
        <v>55</v>
      </c>
      <c r="B1" s="9"/>
      <c r="C1" s="9"/>
      <c r="D1" s="9"/>
      <c r="E1" s="9"/>
      <c r="F1" s="9"/>
      <c r="G1" s="9"/>
      <c r="H1" s="9"/>
      <c r="I1" s="9"/>
      <c r="J1" s="9"/>
    </row>
    <row r="2" spans="1:17" s="10" customFormat="1" x14ac:dyDescent="0.25">
      <c r="A2" s="8" t="s">
        <v>56</v>
      </c>
      <c r="B2" s="9"/>
      <c r="C2" s="9"/>
      <c r="D2" s="9"/>
      <c r="E2" s="9"/>
      <c r="F2" s="9"/>
      <c r="G2" s="9"/>
      <c r="H2" s="9"/>
      <c r="I2" s="9"/>
      <c r="J2" s="9"/>
    </row>
    <row r="3" spans="1:17" s="10" customFormat="1" x14ac:dyDescent="0.25">
      <c r="A3" s="50"/>
      <c r="B3" s="51"/>
      <c r="C3" s="51"/>
      <c r="D3" s="51"/>
      <c r="E3" s="51"/>
      <c r="F3" s="51"/>
      <c r="G3" s="51"/>
      <c r="H3" s="51"/>
      <c r="I3" s="51"/>
      <c r="J3" s="51" t="s">
        <v>16</v>
      </c>
      <c r="K3" s="52" t="s">
        <v>21</v>
      </c>
      <c r="L3" s="53"/>
      <c r="M3" s="53"/>
      <c r="N3" s="53"/>
      <c r="O3" s="53"/>
      <c r="P3" s="53"/>
    </row>
    <row r="4" spans="1:17" s="10" customFormat="1" x14ac:dyDescent="0.25">
      <c r="A4" s="11"/>
      <c r="B4" s="12"/>
      <c r="C4" s="12"/>
      <c r="D4" s="13">
        <v>2006</v>
      </c>
      <c r="E4" s="13">
        <v>2007</v>
      </c>
      <c r="F4" s="13">
        <v>2008</v>
      </c>
      <c r="G4" s="13">
        <v>2009</v>
      </c>
      <c r="H4" s="13">
        <v>2010</v>
      </c>
      <c r="I4" s="13">
        <v>2011</v>
      </c>
      <c r="J4" s="12" t="s">
        <v>17</v>
      </c>
      <c r="K4" s="13" t="s">
        <v>22</v>
      </c>
      <c r="L4" s="14"/>
      <c r="M4" s="15" t="s">
        <v>64</v>
      </c>
      <c r="N4" s="15" t="s">
        <v>65</v>
      </c>
      <c r="O4" s="15" t="s">
        <v>66</v>
      </c>
      <c r="P4" s="15" t="s">
        <v>67</v>
      </c>
      <c r="Q4" s="49" t="s">
        <v>106</v>
      </c>
    </row>
    <row r="5" spans="1:17" s="10" customFormat="1" x14ac:dyDescent="0.25">
      <c r="A5" s="12"/>
      <c r="B5" s="12"/>
      <c r="C5" s="12"/>
      <c r="D5" s="12"/>
      <c r="E5" s="12"/>
      <c r="F5" s="12"/>
      <c r="G5" s="12"/>
      <c r="H5" s="12"/>
      <c r="I5" s="12"/>
      <c r="J5" s="16">
        <v>40755</v>
      </c>
      <c r="K5" s="17">
        <v>2012</v>
      </c>
      <c r="L5" s="14"/>
      <c r="M5" s="14"/>
      <c r="N5" s="14"/>
      <c r="O5" s="14"/>
      <c r="P5" s="14"/>
      <c r="Q5" s="14"/>
    </row>
    <row r="6" spans="1:17" s="10" customFormat="1" x14ac:dyDescent="0.25">
      <c r="A6" s="11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4"/>
      <c r="L6" s="14"/>
      <c r="M6" s="14"/>
      <c r="N6" s="14"/>
      <c r="O6" s="14"/>
      <c r="P6" s="14"/>
      <c r="Q6" s="14"/>
    </row>
    <row r="7" spans="1:17" s="10" customFormat="1" x14ac:dyDescent="0.25">
      <c r="A7" s="12" t="s">
        <v>1</v>
      </c>
      <c r="B7" s="12"/>
      <c r="C7" s="12"/>
      <c r="D7" s="18">
        <v>22184354</v>
      </c>
      <c r="E7" s="18">
        <v>22955623</v>
      </c>
      <c r="F7" s="18">
        <v>23391225</v>
      </c>
      <c r="G7" s="18">
        <v>24046671</v>
      </c>
      <c r="H7" s="18">
        <v>24172809</v>
      </c>
      <c r="I7" s="18">
        <v>23223804</v>
      </c>
      <c r="J7" s="18">
        <v>12171004</v>
      </c>
      <c r="K7" s="14"/>
      <c r="L7" s="14"/>
      <c r="M7" s="18">
        <f>I7*1.07</f>
        <v>24849470.280000001</v>
      </c>
      <c r="N7" s="18">
        <f>M7*1.07</f>
        <v>26588933.199600004</v>
      </c>
      <c r="O7" s="18">
        <f t="shared" ref="O7:P7" si="0">N7*1.07</f>
        <v>28450158.523572005</v>
      </c>
      <c r="P7" s="18">
        <f t="shared" si="0"/>
        <v>30441669.620222047</v>
      </c>
      <c r="Q7" s="18" t="s">
        <v>68</v>
      </c>
    </row>
    <row r="8" spans="1:17" s="10" customFormat="1" x14ac:dyDescent="0.25">
      <c r="A8" s="12" t="s">
        <v>4</v>
      </c>
      <c r="B8" s="12"/>
      <c r="C8" s="12"/>
      <c r="D8" s="18">
        <v>11527204</v>
      </c>
      <c r="E8" s="18">
        <v>12025843</v>
      </c>
      <c r="F8" s="18">
        <v>12190241</v>
      </c>
      <c r="G8" s="18">
        <v>14172992</v>
      </c>
      <c r="H8" s="18">
        <v>13935458</v>
      </c>
      <c r="I8" s="18">
        <v>13720915</v>
      </c>
      <c r="J8" s="18">
        <v>7171601</v>
      </c>
      <c r="K8" s="14"/>
      <c r="L8" s="14"/>
      <c r="M8" s="18">
        <f>M7*0.58</f>
        <v>14412692.762399999</v>
      </c>
      <c r="N8" s="18">
        <f t="shared" ref="N8:P8" si="1">N7*0.58</f>
        <v>15421581.255768001</v>
      </c>
      <c r="O8" s="18">
        <f t="shared" si="1"/>
        <v>16501091.943671761</v>
      </c>
      <c r="P8" s="18">
        <f t="shared" si="1"/>
        <v>17656168.379728787</v>
      </c>
      <c r="Q8" s="18" t="s">
        <v>69</v>
      </c>
    </row>
    <row r="9" spans="1:17" s="10" customFormat="1" x14ac:dyDescent="0.25">
      <c r="A9" s="12" t="s">
        <v>2</v>
      </c>
      <c r="B9" s="12"/>
      <c r="C9" s="12"/>
      <c r="D9" s="18"/>
      <c r="E9" s="18"/>
      <c r="F9" s="18">
        <v>651794</v>
      </c>
      <c r="G9" s="18">
        <v>511764</v>
      </c>
      <c r="H9" s="18">
        <v>524864</v>
      </c>
      <c r="I9" s="18">
        <v>434852</v>
      </c>
      <c r="J9" s="18">
        <v>241635</v>
      </c>
      <c r="K9" s="14"/>
      <c r="L9" s="14"/>
      <c r="M9" s="18">
        <f>0.025*M57</f>
        <v>411330.95</v>
      </c>
      <c r="N9" s="18">
        <f t="shared" ref="N9:P9" si="2">0.025*N57</f>
        <v>411330.95</v>
      </c>
      <c r="O9" s="18">
        <f t="shared" si="2"/>
        <v>411330.95</v>
      </c>
      <c r="P9" s="18">
        <f t="shared" si="2"/>
        <v>411330.95</v>
      </c>
      <c r="Q9" s="19" t="s">
        <v>70</v>
      </c>
    </row>
    <row r="10" spans="1:17" s="10" customFormat="1" x14ac:dyDescent="0.25">
      <c r="A10" s="12" t="s">
        <v>3</v>
      </c>
      <c r="B10" s="12"/>
      <c r="C10" s="12"/>
      <c r="D10" s="18">
        <v>10657150</v>
      </c>
      <c r="E10" s="18">
        <v>10929780</v>
      </c>
      <c r="F10" s="18">
        <v>10549190</v>
      </c>
      <c r="G10" s="18">
        <v>9361915</v>
      </c>
      <c r="H10" s="18">
        <v>9712487</v>
      </c>
      <c r="I10" s="18">
        <v>9068037</v>
      </c>
      <c r="J10" s="18">
        <v>4757768</v>
      </c>
      <c r="K10" s="14"/>
      <c r="L10" s="14"/>
      <c r="M10" s="18">
        <f>M7-M8-M9</f>
        <v>10025446.567600003</v>
      </c>
      <c r="N10" s="18">
        <f t="shared" ref="N10:P10" si="3">N7-N8-N9</f>
        <v>10756020.993832003</v>
      </c>
      <c r="O10" s="18">
        <f t="shared" si="3"/>
        <v>11537735.629900245</v>
      </c>
      <c r="P10" s="18">
        <f t="shared" si="3"/>
        <v>12374170.290493261</v>
      </c>
      <c r="Q10" s="18"/>
    </row>
    <row r="11" spans="1:17" s="10" customFormat="1" x14ac:dyDescent="0.25">
      <c r="A11" s="12"/>
      <c r="B11" s="12"/>
      <c r="C11" s="12"/>
      <c r="D11" s="18"/>
      <c r="E11" s="18"/>
      <c r="F11" s="18"/>
      <c r="G11" s="18"/>
      <c r="H11" s="18"/>
      <c r="I11" s="18"/>
      <c r="J11" s="18"/>
      <c r="K11" s="14"/>
      <c r="L11" s="14"/>
      <c r="M11" s="18"/>
      <c r="N11" s="18"/>
      <c r="O11" s="18"/>
      <c r="P11" s="18"/>
      <c r="Q11" s="18"/>
    </row>
    <row r="12" spans="1:17" s="10" customFormat="1" x14ac:dyDescent="0.25">
      <c r="A12" s="12" t="s">
        <v>5</v>
      </c>
      <c r="B12" s="12"/>
      <c r="C12" s="12"/>
      <c r="D12" s="18"/>
      <c r="E12" s="18"/>
      <c r="F12" s="18"/>
      <c r="G12" s="18"/>
      <c r="H12" s="18"/>
      <c r="I12" s="18"/>
      <c r="J12" s="18"/>
      <c r="K12" s="14"/>
      <c r="L12" s="14"/>
      <c r="M12" s="18"/>
      <c r="N12" s="18"/>
      <c r="O12" s="18"/>
      <c r="P12" s="18"/>
      <c r="Q12" s="18"/>
    </row>
    <row r="13" spans="1:17" s="10" customFormat="1" x14ac:dyDescent="0.25">
      <c r="A13" s="12" t="s">
        <v>11</v>
      </c>
      <c r="B13" s="12"/>
      <c r="C13" s="12"/>
      <c r="D13" s="18">
        <v>4577368</v>
      </c>
      <c r="E13" s="18">
        <v>4524084</v>
      </c>
      <c r="F13" s="18">
        <v>4916897</v>
      </c>
      <c r="G13" s="18">
        <v>4400094</v>
      </c>
      <c r="H13" s="18">
        <v>4717334</v>
      </c>
      <c r="I13" s="18">
        <v>4629071</v>
      </c>
      <c r="J13" s="18">
        <v>2068887</v>
      </c>
      <c r="K13" s="14"/>
      <c r="L13" s="14"/>
      <c r="M13" s="18">
        <f>0.19*M7</f>
        <v>4721399.3532000007</v>
      </c>
      <c r="N13" s="18">
        <f t="shared" ref="N13:P13" si="4">0.19*N7</f>
        <v>5051897.3079240005</v>
      </c>
      <c r="O13" s="18">
        <f t="shared" si="4"/>
        <v>5405530.1194786811</v>
      </c>
      <c r="P13" s="18">
        <f t="shared" si="4"/>
        <v>5783917.2278421894</v>
      </c>
      <c r="Q13" s="18" t="s">
        <v>71</v>
      </c>
    </row>
    <row r="14" spans="1:17" s="10" customFormat="1" x14ac:dyDescent="0.25">
      <c r="A14" s="12" t="s">
        <v>25</v>
      </c>
      <c r="B14" s="12"/>
      <c r="C14" s="12"/>
      <c r="D14" s="18"/>
      <c r="E14" s="18"/>
      <c r="F14" s="18"/>
      <c r="G14" s="18"/>
      <c r="H14" s="18">
        <v>1600000</v>
      </c>
      <c r="I14" s="18"/>
      <c r="J14" s="18"/>
      <c r="K14" s="14"/>
      <c r="L14" s="14"/>
      <c r="M14" s="18"/>
      <c r="N14" s="18"/>
      <c r="O14" s="18"/>
      <c r="P14" s="18"/>
      <c r="Q14" s="18"/>
    </row>
    <row r="15" spans="1:17" s="10" customFormat="1" x14ac:dyDescent="0.25">
      <c r="A15" s="12" t="s">
        <v>12</v>
      </c>
      <c r="B15" s="12"/>
      <c r="C15" s="12"/>
      <c r="D15" s="18">
        <v>1252759</v>
      </c>
      <c r="E15" s="18">
        <v>1335131</v>
      </c>
      <c r="F15" s="18">
        <v>644992</v>
      </c>
      <c r="G15" s="18">
        <v>698676</v>
      </c>
      <c r="H15" s="18">
        <v>595471</v>
      </c>
      <c r="I15" s="18">
        <v>581722</v>
      </c>
      <c r="J15" s="18">
        <v>301153</v>
      </c>
      <c r="K15" s="14"/>
      <c r="L15" s="14"/>
      <c r="M15" s="18">
        <v>581722</v>
      </c>
      <c r="N15" s="18">
        <v>581722</v>
      </c>
      <c r="O15" s="18">
        <v>581722</v>
      </c>
      <c r="P15" s="18">
        <v>581722</v>
      </c>
      <c r="Q15" s="18" t="s">
        <v>77</v>
      </c>
    </row>
    <row r="16" spans="1:17" s="10" customFormat="1" x14ac:dyDescent="0.25">
      <c r="A16" s="12" t="s">
        <v>13</v>
      </c>
      <c r="B16" s="12"/>
      <c r="C16" s="12"/>
      <c r="D16" s="18">
        <v>553097</v>
      </c>
      <c r="E16" s="18">
        <v>595654</v>
      </c>
      <c r="F16" s="18">
        <v>535152</v>
      </c>
      <c r="G16" s="18">
        <v>449700</v>
      </c>
      <c r="H16" s="18">
        <v>372567</v>
      </c>
      <c r="I16" s="18">
        <v>335430</v>
      </c>
      <c r="J16" s="18">
        <v>296506</v>
      </c>
      <c r="K16" s="14"/>
      <c r="L16" s="14"/>
      <c r="M16" s="35">
        <f>0.07*M71</f>
        <v>269501.27400000003</v>
      </c>
      <c r="N16" s="35">
        <f t="shared" ref="N16:O16" si="5">0.07*N71</f>
        <v>242551.14660000004</v>
      </c>
      <c r="O16" s="35">
        <f t="shared" si="5"/>
        <v>218296.03194000007</v>
      </c>
      <c r="P16" s="35">
        <f>0.07*P71</f>
        <v>196466.42874600005</v>
      </c>
      <c r="Q16" s="18" t="s">
        <v>78</v>
      </c>
    </row>
    <row r="17" spans="1:17" s="10" customFormat="1" x14ac:dyDescent="0.25">
      <c r="A17" s="12" t="s">
        <v>14</v>
      </c>
      <c r="B17" s="12"/>
      <c r="C17" s="12"/>
      <c r="D17" s="18">
        <v>263692</v>
      </c>
      <c r="E17" s="18">
        <v>316479</v>
      </c>
      <c r="F17" s="18">
        <v>327228</v>
      </c>
      <c r="G17" s="18">
        <v>184714</v>
      </c>
      <c r="H17" s="18">
        <v>128232</v>
      </c>
      <c r="I17" s="18">
        <v>83957</v>
      </c>
      <c r="J17" s="18"/>
      <c r="K17" s="14"/>
      <c r="L17" s="14"/>
      <c r="M17" s="18">
        <v>100000</v>
      </c>
      <c r="N17" s="18">
        <v>100000</v>
      </c>
      <c r="O17" s="18">
        <v>100000</v>
      </c>
      <c r="P17" s="18">
        <v>100000</v>
      </c>
      <c r="Q17" s="18" t="s">
        <v>80</v>
      </c>
    </row>
    <row r="18" spans="1:17" s="10" customFormat="1" x14ac:dyDescent="0.25">
      <c r="A18" s="12" t="s">
        <v>15</v>
      </c>
      <c r="B18" s="12"/>
      <c r="C18" s="12"/>
      <c r="D18" s="18">
        <v>29435</v>
      </c>
      <c r="E18" s="18">
        <v>5196</v>
      </c>
      <c r="F18" s="18"/>
      <c r="G18" s="18"/>
      <c r="H18" s="18"/>
      <c r="I18" s="18"/>
      <c r="J18" s="18"/>
      <c r="K18" s="14"/>
      <c r="L18" s="14"/>
      <c r="M18" s="34"/>
      <c r="N18" s="34"/>
      <c r="O18" s="34"/>
      <c r="P18" s="34"/>
      <c r="Q18" s="18"/>
    </row>
    <row r="19" spans="1:17" s="10" customFormat="1" x14ac:dyDescent="0.25">
      <c r="A19" s="12"/>
      <c r="B19" s="12"/>
      <c r="C19" s="12"/>
      <c r="D19" s="18">
        <v>6676351</v>
      </c>
      <c r="E19" s="18">
        <v>6776546</v>
      </c>
      <c r="F19" s="18">
        <v>6424269</v>
      </c>
      <c r="G19" s="18">
        <v>5733184</v>
      </c>
      <c r="H19" s="18">
        <v>7413604</v>
      </c>
      <c r="I19" s="18">
        <v>5630180</v>
      </c>
      <c r="J19" s="18">
        <v>2666546</v>
      </c>
      <c r="K19" s="14"/>
      <c r="L19" s="14"/>
      <c r="M19" s="18">
        <f>SUM(M13:M18)</f>
        <v>5672622.6272000009</v>
      </c>
      <c r="N19" s="18">
        <f t="shared" ref="N19:P19" si="6">SUM(N13:N18)</f>
        <v>5976170.4545240002</v>
      </c>
      <c r="O19" s="18">
        <f t="shared" si="6"/>
        <v>6305548.1514186813</v>
      </c>
      <c r="P19" s="18">
        <f t="shared" si="6"/>
        <v>6662105.6565881893</v>
      </c>
      <c r="Q19" s="18"/>
    </row>
    <row r="20" spans="1:17" s="10" customFormat="1" x14ac:dyDescent="0.25">
      <c r="A20" s="12" t="s">
        <v>6</v>
      </c>
      <c r="B20" s="12"/>
      <c r="C20" s="12"/>
      <c r="D20" s="18">
        <v>3980799</v>
      </c>
      <c r="E20" s="18">
        <v>4153234</v>
      </c>
      <c r="F20" s="18">
        <v>4124921</v>
      </c>
      <c r="G20" s="18">
        <v>3628731</v>
      </c>
      <c r="H20" s="18">
        <v>2298883</v>
      </c>
      <c r="I20" s="18">
        <v>3437857</v>
      </c>
      <c r="J20" s="18">
        <v>2091222</v>
      </c>
      <c r="K20" s="14"/>
      <c r="L20" s="14"/>
      <c r="M20" s="18">
        <f>M10-M19</f>
        <v>4352823.9404000016</v>
      </c>
      <c r="N20" s="18">
        <f t="shared" ref="N20:P20" si="7">N10-N19</f>
        <v>4779850.5393080031</v>
      </c>
      <c r="O20" s="18">
        <f t="shared" si="7"/>
        <v>5232187.4784815637</v>
      </c>
      <c r="P20" s="18">
        <f t="shared" si="7"/>
        <v>5712064.6339050718</v>
      </c>
      <c r="Q20" s="18"/>
    </row>
    <row r="21" spans="1:17" s="10" customFormat="1" x14ac:dyDescent="0.25">
      <c r="A21" s="12"/>
      <c r="B21" s="12"/>
      <c r="C21" s="12"/>
      <c r="D21" s="18"/>
      <c r="E21" s="18"/>
      <c r="F21" s="18"/>
      <c r="G21" s="20"/>
      <c r="H21" s="18"/>
      <c r="I21" s="18"/>
      <c r="J21" s="18"/>
      <c r="K21" s="14"/>
      <c r="L21" s="14"/>
      <c r="M21" s="18"/>
      <c r="N21" s="18"/>
      <c r="O21" s="18"/>
      <c r="P21" s="18"/>
      <c r="Q21" s="18"/>
    </row>
    <row r="22" spans="1:17" s="10" customFormat="1" x14ac:dyDescent="0.25">
      <c r="A22" s="12" t="s">
        <v>7</v>
      </c>
      <c r="B22" s="12"/>
      <c r="C22" s="12"/>
      <c r="D22" s="18"/>
      <c r="E22" s="18"/>
      <c r="F22" s="18"/>
      <c r="G22" s="20"/>
      <c r="H22" s="18"/>
      <c r="I22" s="18"/>
      <c r="J22" s="18"/>
      <c r="K22" s="14"/>
      <c r="L22" s="14"/>
      <c r="M22" s="18"/>
      <c r="N22" s="18"/>
      <c r="O22" s="18"/>
      <c r="P22" s="18"/>
      <c r="Q22" s="18"/>
    </row>
    <row r="23" spans="1:17" s="10" customFormat="1" x14ac:dyDescent="0.25">
      <c r="A23" s="12" t="s">
        <v>8</v>
      </c>
      <c r="B23" s="12"/>
      <c r="C23" s="12"/>
      <c r="D23" s="18">
        <v>1436800</v>
      </c>
      <c r="E23" s="18">
        <v>1399222</v>
      </c>
      <c r="F23" s="18">
        <v>1553228</v>
      </c>
      <c r="G23" s="20">
        <v>1043261</v>
      </c>
      <c r="H23" s="18">
        <v>1131422</v>
      </c>
      <c r="I23" s="18">
        <v>876437</v>
      </c>
      <c r="J23" s="18">
        <v>521450</v>
      </c>
      <c r="K23" s="14"/>
      <c r="L23" s="14"/>
      <c r="M23" s="18">
        <f>0.288*M20</f>
        <v>1253613.2948352003</v>
      </c>
      <c r="N23" s="18">
        <f t="shared" ref="N23:P23" si="8">0.288*N20</f>
        <v>1376596.9553207047</v>
      </c>
      <c r="O23" s="18">
        <f t="shared" si="8"/>
        <v>1506869.9938026902</v>
      </c>
      <c r="P23" s="18">
        <f t="shared" si="8"/>
        <v>1645074.6145646605</v>
      </c>
      <c r="Q23" s="18" t="s">
        <v>89</v>
      </c>
    </row>
    <row r="24" spans="1:17" s="10" customFormat="1" x14ac:dyDescent="0.25">
      <c r="A24" s="12" t="s">
        <v>9</v>
      </c>
      <c r="B24" s="12"/>
      <c r="C24" s="12"/>
      <c r="D24" s="18">
        <v>-30798</v>
      </c>
      <c r="E24" s="18">
        <v>-81113</v>
      </c>
      <c r="F24" s="18">
        <v>-85566</v>
      </c>
      <c r="G24" s="20">
        <v>-58459</v>
      </c>
      <c r="H24" s="18">
        <v>-422653</v>
      </c>
      <c r="I24" s="18">
        <v>239338</v>
      </c>
      <c r="J24" s="18">
        <v>251419</v>
      </c>
      <c r="K24" s="14"/>
      <c r="L24" s="14"/>
      <c r="M24" s="18"/>
      <c r="N24" s="18"/>
      <c r="O24" s="18"/>
      <c r="P24" s="18"/>
      <c r="Q24" s="18"/>
    </row>
    <row r="25" spans="1:17" s="10" customFormat="1" x14ac:dyDescent="0.25">
      <c r="A25" s="12"/>
      <c r="B25" s="12"/>
      <c r="C25" s="12"/>
      <c r="D25" s="18"/>
      <c r="E25" s="18"/>
      <c r="F25" s="18"/>
      <c r="G25" s="20"/>
      <c r="H25" s="18"/>
      <c r="I25" s="18"/>
      <c r="J25" s="18"/>
      <c r="K25" s="14"/>
      <c r="L25" s="14"/>
      <c r="M25" s="18"/>
      <c r="N25" s="18"/>
      <c r="O25" s="18"/>
      <c r="P25" s="18"/>
      <c r="Q25" s="18"/>
    </row>
    <row r="26" spans="1:17" s="10" customFormat="1" x14ac:dyDescent="0.25">
      <c r="A26" s="11" t="s">
        <v>10</v>
      </c>
      <c r="B26" s="12"/>
      <c r="C26" s="12"/>
      <c r="D26" s="18">
        <v>2574797</v>
      </c>
      <c r="E26" s="18">
        <v>2835125</v>
      </c>
      <c r="F26" s="18">
        <v>2657259</v>
      </c>
      <c r="G26" s="20">
        <v>2643929</v>
      </c>
      <c r="H26" s="18">
        <v>1590114</v>
      </c>
      <c r="I26" s="18">
        <v>2322082</v>
      </c>
      <c r="J26" s="18">
        <v>1318353</v>
      </c>
      <c r="K26" s="14"/>
      <c r="L26" s="14"/>
      <c r="M26" s="18">
        <f>M20-M23</f>
        <v>3099210.6455648011</v>
      </c>
      <c r="N26" s="18">
        <f t="shared" ref="N26:P26" si="9">N20-N23</f>
        <v>3403253.5839872984</v>
      </c>
      <c r="O26" s="18">
        <f t="shared" si="9"/>
        <v>3725317.4846788738</v>
      </c>
      <c r="P26" s="18">
        <f t="shared" si="9"/>
        <v>4066990.0193404113</v>
      </c>
      <c r="Q26" s="18"/>
    </row>
    <row r="27" spans="1:17" s="10" customFormat="1" x14ac:dyDescent="0.25">
      <c r="A27" s="12"/>
      <c r="B27" s="12"/>
      <c r="C27" s="12"/>
      <c r="D27" s="12"/>
      <c r="E27" s="12"/>
      <c r="F27" s="12"/>
      <c r="G27" s="20"/>
      <c r="H27" s="12"/>
      <c r="I27" s="12"/>
      <c r="J27" s="12"/>
      <c r="K27" s="14"/>
      <c r="L27" s="14"/>
      <c r="M27" s="18"/>
      <c r="N27" s="18"/>
      <c r="O27" s="18"/>
      <c r="P27" s="18"/>
      <c r="Q27" s="18"/>
    </row>
    <row r="28" spans="1:17" s="10" customFormat="1" x14ac:dyDescent="0.25">
      <c r="A28" s="11" t="s">
        <v>18</v>
      </c>
      <c r="B28" s="12"/>
      <c r="C28" s="12"/>
      <c r="D28" s="20">
        <f t="shared" ref="D28:J28" si="10">+D20+D9+D15+D16+D17</f>
        <v>6050347</v>
      </c>
      <c r="E28" s="20">
        <f t="shared" si="10"/>
        <v>6400498</v>
      </c>
      <c r="F28" s="20">
        <f t="shared" si="10"/>
        <v>6284087</v>
      </c>
      <c r="G28" s="20">
        <f t="shared" si="10"/>
        <v>5473585</v>
      </c>
      <c r="H28" s="20">
        <f t="shared" si="10"/>
        <v>3920017</v>
      </c>
      <c r="I28" s="20">
        <f>+I20+I9+I15+I16+I17</f>
        <v>4873818</v>
      </c>
      <c r="J28" s="20">
        <f t="shared" si="10"/>
        <v>2930516</v>
      </c>
      <c r="K28" s="18">
        <v>4505000</v>
      </c>
      <c r="L28" s="21"/>
      <c r="M28" s="20">
        <f>+M20+M9+M15+M16+M17</f>
        <v>5715378.164400002</v>
      </c>
      <c r="N28" s="20">
        <f t="shared" ref="N28:P28" si="11">+N20+N9+N15+N16+N17</f>
        <v>6115454.635908003</v>
      </c>
      <c r="O28" s="20">
        <f t="shared" si="11"/>
        <v>6543536.4604215641</v>
      </c>
      <c r="P28" s="20">
        <f t="shared" si="11"/>
        <v>7001584.0126510719</v>
      </c>
      <c r="Q28" s="18"/>
    </row>
    <row r="29" spans="1:17" s="10" customFormat="1" x14ac:dyDescent="0.25">
      <c r="A29" s="12"/>
      <c r="B29" s="12"/>
      <c r="C29" s="12"/>
      <c r="D29" s="12"/>
      <c r="E29" s="12"/>
      <c r="F29" s="12"/>
      <c r="G29" s="20"/>
      <c r="H29" s="12"/>
      <c r="I29" s="12"/>
      <c r="J29" s="12"/>
      <c r="K29" s="14"/>
      <c r="L29" s="14"/>
      <c r="M29" s="18"/>
      <c r="N29" s="18"/>
      <c r="O29" s="18"/>
      <c r="P29" s="18"/>
      <c r="Q29" s="18"/>
    </row>
    <row r="30" spans="1:17" s="10" customFormat="1" x14ac:dyDescent="0.25">
      <c r="A30" s="11" t="s">
        <v>60</v>
      </c>
      <c r="B30" s="12"/>
      <c r="C30" s="12"/>
      <c r="D30" s="12"/>
      <c r="E30" s="12"/>
      <c r="F30" s="12"/>
      <c r="G30" s="20"/>
      <c r="H30" s="12"/>
      <c r="I30" s="12"/>
      <c r="J30" s="12"/>
      <c r="K30" s="14"/>
      <c r="L30" s="14"/>
      <c r="M30" s="18"/>
      <c r="N30" s="18"/>
      <c r="O30" s="18"/>
      <c r="P30" s="18"/>
      <c r="Q30" s="18"/>
    </row>
    <row r="31" spans="1:17" s="10" customFormat="1" x14ac:dyDescent="0.25">
      <c r="A31" s="12" t="s">
        <v>19</v>
      </c>
      <c r="B31" s="12"/>
      <c r="C31" s="12"/>
      <c r="D31" s="18">
        <v>29435</v>
      </c>
      <c r="E31" s="18">
        <v>5198</v>
      </c>
      <c r="F31" s="18">
        <v>14173</v>
      </c>
      <c r="G31" s="18">
        <v>76032</v>
      </c>
      <c r="H31" s="18">
        <v>-6001</v>
      </c>
      <c r="I31" s="18">
        <v>17247</v>
      </c>
      <c r="J31" s="18"/>
      <c r="K31" s="22"/>
      <c r="L31" s="14"/>
      <c r="M31" s="18"/>
      <c r="N31" s="18"/>
      <c r="O31" s="18"/>
      <c r="P31" s="18"/>
      <c r="Q31" s="18"/>
    </row>
    <row r="32" spans="1:17" s="10" customFormat="1" x14ac:dyDescent="0.25">
      <c r="A32" s="12" t="s">
        <v>20</v>
      </c>
      <c r="B32" s="12"/>
      <c r="C32" s="12"/>
      <c r="D32" s="18"/>
      <c r="E32" s="18"/>
      <c r="F32" s="18"/>
      <c r="G32" s="18"/>
      <c r="H32" s="18"/>
      <c r="I32" s="18"/>
      <c r="J32" s="18"/>
      <c r="K32" s="22"/>
      <c r="L32" s="14"/>
      <c r="M32" s="18"/>
      <c r="N32" s="18"/>
      <c r="O32" s="18"/>
      <c r="P32" s="18"/>
      <c r="Q32" s="18"/>
    </row>
    <row r="33" spans="1:17" s="10" customFormat="1" x14ac:dyDescent="0.25">
      <c r="A33" s="12" t="s">
        <v>26</v>
      </c>
      <c r="B33" s="12"/>
      <c r="C33" s="12"/>
      <c r="D33" s="18">
        <v>-1231000</v>
      </c>
      <c r="E33" s="18">
        <v>-1262000</v>
      </c>
      <c r="F33" s="18">
        <v>-1286000</v>
      </c>
      <c r="G33" s="18">
        <v>-1326000</v>
      </c>
      <c r="H33" s="18">
        <v>-1329000</v>
      </c>
      <c r="I33" s="18">
        <v>-676000</v>
      </c>
      <c r="J33" s="18"/>
      <c r="K33" s="22"/>
      <c r="L33" s="14"/>
      <c r="M33" s="18"/>
      <c r="N33" s="18"/>
      <c r="O33" s="18"/>
      <c r="P33" s="18"/>
      <c r="Q33" s="18"/>
    </row>
    <row r="34" spans="1:17" s="10" customFormat="1" x14ac:dyDescent="0.25">
      <c r="A34" s="12"/>
      <c r="B34" s="12"/>
      <c r="C34" s="12"/>
      <c r="D34" s="18"/>
      <c r="E34" s="18"/>
      <c r="F34" s="18"/>
      <c r="G34" s="18"/>
      <c r="H34" s="18"/>
      <c r="I34" s="18"/>
      <c r="J34" s="18"/>
      <c r="K34" s="22"/>
      <c r="L34" s="14"/>
      <c r="M34" s="18"/>
      <c r="N34" s="18"/>
      <c r="O34" s="18"/>
      <c r="P34" s="18"/>
      <c r="Q34" s="18"/>
    </row>
    <row r="35" spans="1:17" s="10" customFormat="1" x14ac:dyDescent="0.25">
      <c r="A35" s="11" t="s">
        <v>23</v>
      </c>
      <c r="B35" s="12"/>
      <c r="C35" s="12"/>
      <c r="D35" s="18"/>
      <c r="E35" s="18"/>
      <c r="F35" s="18"/>
      <c r="G35" s="18"/>
      <c r="H35" s="18"/>
      <c r="I35" s="18"/>
      <c r="J35" s="18"/>
      <c r="K35" s="22"/>
      <c r="L35" s="14"/>
      <c r="M35" s="18"/>
      <c r="N35" s="18"/>
      <c r="O35" s="18"/>
      <c r="P35" s="18"/>
      <c r="Q35" s="18"/>
    </row>
    <row r="36" spans="1:17" s="10" customFormat="1" x14ac:dyDescent="0.25">
      <c r="A36" s="11" t="s">
        <v>24</v>
      </c>
      <c r="B36" s="12"/>
      <c r="C36" s="12"/>
      <c r="D36" s="18">
        <v>4848782</v>
      </c>
      <c r="E36" s="18">
        <v>5143696</v>
      </c>
      <c r="F36" s="18">
        <v>5012260</v>
      </c>
      <c r="G36" s="18">
        <v>4223617</v>
      </c>
      <c r="H36" s="18">
        <v>4185016</v>
      </c>
      <c r="I36" s="18">
        <v>4215065</v>
      </c>
      <c r="J36" s="18"/>
      <c r="K36" s="18">
        <v>4505000</v>
      </c>
      <c r="L36" s="14"/>
      <c r="M36" s="18"/>
      <c r="N36" s="18"/>
      <c r="O36" s="18"/>
      <c r="P36" s="18"/>
      <c r="Q36" s="18"/>
    </row>
    <row r="37" spans="1:17" s="10" customFormat="1" x14ac:dyDescent="0.25">
      <c r="A37" s="11" t="s">
        <v>61</v>
      </c>
      <c r="B37" s="12"/>
      <c r="C37" s="12"/>
      <c r="D37" s="12"/>
      <c r="E37" s="12"/>
      <c r="F37" s="12"/>
      <c r="G37" s="12"/>
      <c r="H37" s="18">
        <v>1699421</v>
      </c>
      <c r="I37" s="18">
        <v>1564114</v>
      </c>
      <c r="J37" s="18">
        <v>1248000</v>
      </c>
      <c r="K37" s="14"/>
      <c r="L37" s="14"/>
      <c r="M37" s="18"/>
      <c r="N37" s="18"/>
      <c r="O37" s="18"/>
      <c r="P37" s="18"/>
      <c r="Q37" s="18"/>
    </row>
    <row r="38" spans="1:17" s="10" customFormat="1" x14ac:dyDescent="0.25">
      <c r="A38" s="12" t="s">
        <v>27</v>
      </c>
      <c r="B38" s="12"/>
      <c r="C38" s="12"/>
      <c r="D38" s="12"/>
      <c r="E38" s="12"/>
      <c r="F38" s="12"/>
      <c r="G38" s="12"/>
      <c r="H38" s="12"/>
      <c r="I38" s="12"/>
      <c r="J38" s="12"/>
      <c r="K38" s="14"/>
      <c r="L38" s="14"/>
      <c r="M38" s="18"/>
      <c r="N38" s="18"/>
      <c r="O38" s="18"/>
      <c r="P38" s="18"/>
      <c r="Q38" s="18"/>
    </row>
    <row r="39" spans="1:17" s="10" customFormat="1" x14ac:dyDescent="0.25">
      <c r="A39" s="12" t="s">
        <v>28</v>
      </c>
      <c r="B39" s="12"/>
      <c r="C39" s="12"/>
      <c r="D39" s="12"/>
      <c r="E39" s="12"/>
      <c r="F39" s="12"/>
      <c r="G39" s="12"/>
      <c r="H39" s="12"/>
      <c r="I39" s="12"/>
      <c r="J39" s="12"/>
      <c r="K39" s="14"/>
      <c r="L39" s="14"/>
      <c r="M39" s="18"/>
      <c r="N39" s="18"/>
      <c r="O39" s="18"/>
      <c r="P39" s="18"/>
      <c r="Q39" s="18"/>
    </row>
    <row r="40" spans="1:17" s="10" customFormat="1" x14ac:dyDescent="0.25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4"/>
      <c r="L40" s="14"/>
      <c r="M40" s="18"/>
      <c r="N40" s="18"/>
      <c r="O40" s="18"/>
      <c r="P40" s="18"/>
      <c r="Q40" s="18"/>
    </row>
    <row r="41" spans="1:17" s="10" customForma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4"/>
      <c r="L41" s="14"/>
      <c r="M41" s="18"/>
      <c r="N41" s="18"/>
      <c r="O41" s="18"/>
      <c r="P41" s="18"/>
      <c r="Q41" s="18"/>
    </row>
    <row r="42" spans="1:17" s="6" customFormat="1" x14ac:dyDescent="0.25">
      <c r="A42" s="3" t="s">
        <v>29</v>
      </c>
      <c r="B42" s="4"/>
      <c r="C42" s="4"/>
      <c r="D42" s="4"/>
      <c r="E42" s="4"/>
      <c r="F42" s="4"/>
      <c r="G42" s="4"/>
      <c r="H42" s="4"/>
      <c r="I42" s="4"/>
      <c r="J42" s="4"/>
      <c r="K42" s="5"/>
      <c r="L42" s="5"/>
      <c r="M42" s="2"/>
      <c r="N42" s="2"/>
      <c r="O42" s="2"/>
      <c r="P42" s="2"/>
      <c r="Q42" s="2"/>
    </row>
    <row r="43" spans="1:17" s="6" customForma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5"/>
      <c r="L43" s="5"/>
      <c r="M43" s="2"/>
      <c r="N43" s="2"/>
      <c r="O43" s="2"/>
      <c r="P43" s="2"/>
      <c r="Q43" s="2"/>
    </row>
    <row r="44" spans="1:17" s="6" customFormat="1" x14ac:dyDescent="0.25">
      <c r="A44" s="4" t="s">
        <v>30</v>
      </c>
      <c r="B44" s="4"/>
      <c r="C44" s="4"/>
      <c r="D44" s="4"/>
      <c r="E44" s="4"/>
      <c r="F44" s="4"/>
      <c r="G44" s="4"/>
      <c r="H44" s="4"/>
      <c r="I44" s="4"/>
      <c r="J44" s="4"/>
      <c r="K44" s="5"/>
      <c r="L44" s="5"/>
      <c r="M44" s="2"/>
      <c r="N44" s="2"/>
      <c r="O44" s="2"/>
      <c r="P44" s="2"/>
      <c r="Q44" s="2"/>
    </row>
    <row r="45" spans="1:17" s="6" customFormat="1" x14ac:dyDescent="0.25">
      <c r="A45" s="4"/>
      <c r="B45" s="4"/>
      <c r="C45" s="4"/>
      <c r="D45" s="4"/>
      <c r="E45" s="4"/>
      <c r="F45" s="4"/>
      <c r="G45" s="4"/>
      <c r="H45" s="4"/>
      <c r="I45" s="4"/>
      <c r="J45" s="4" t="s">
        <v>31</v>
      </c>
      <c r="K45" s="5"/>
      <c r="L45" s="5"/>
      <c r="M45" s="2"/>
      <c r="N45" s="2"/>
      <c r="O45" s="2"/>
      <c r="P45" s="2"/>
      <c r="Q45" s="2"/>
    </row>
    <row r="46" spans="1:17" s="6" customFormat="1" x14ac:dyDescent="0.25">
      <c r="A46" s="4"/>
      <c r="B46" s="4"/>
      <c r="C46" s="4"/>
      <c r="D46" s="4">
        <v>2006</v>
      </c>
      <c r="E46" s="4">
        <v>2007</v>
      </c>
      <c r="F46" s="4">
        <v>2008</v>
      </c>
      <c r="G46" s="4">
        <v>2009</v>
      </c>
      <c r="H46" s="4">
        <v>2010</v>
      </c>
      <c r="I46" s="4">
        <v>2011</v>
      </c>
      <c r="J46" s="7">
        <v>40755</v>
      </c>
      <c r="K46" s="5"/>
      <c r="L46" s="5"/>
      <c r="M46" s="37" t="s">
        <v>64</v>
      </c>
      <c r="N46" s="37" t="s">
        <v>65</v>
      </c>
      <c r="O46" s="37" t="s">
        <v>66</v>
      </c>
      <c r="P46" s="37" t="s">
        <v>67</v>
      </c>
      <c r="Q46" s="2"/>
    </row>
    <row r="47" spans="1:17" s="6" customFormat="1" x14ac:dyDescent="0.25">
      <c r="A47" s="3" t="s">
        <v>32</v>
      </c>
      <c r="B47" s="4"/>
      <c r="C47" s="4"/>
      <c r="D47" s="4"/>
      <c r="E47" s="4"/>
      <c r="F47" s="4"/>
      <c r="G47" s="4"/>
      <c r="H47" s="4"/>
      <c r="I47" s="4"/>
      <c r="J47" s="4"/>
      <c r="K47" s="5"/>
      <c r="L47" s="5"/>
      <c r="M47" s="2"/>
      <c r="N47" s="2"/>
      <c r="O47" s="2"/>
      <c r="P47" s="2"/>
      <c r="Q47" s="2"/>
    </row>
    <row r="48" spans="1:17" s="6" customFormat="1" x14ac:dyDescent="0.25">
      <c r="A48" s="4" t="s">
        <v>33</v>
      </c>
      <c r="B48" s="4"/>
      <c r="C48" s="4"/>
      <c r="D48" s="4"/>
      <c r="E48" s="4"/>
      <c r="F48" s="4"/>
      <c r="G48" s="4"/>
      <c r="H48" s="4"/>
      <c r="I48" s="4"/>
      <c r="J48" s="4"/>
      <c r="K48" s="5"/>
      <c r="L48" s="5"/>
      <c r="M48" s="2"/>
      <c r="N48" s="2"/>
      <c r="O48" s="2"/>
      <c r="P48" s="2"/>
      <c r="Q48" s="2"/>
    </row>
    <row r="49" spans="1:17" s="6" customFormat="1" x14ac:dyDescent="0.25">
      <c r="A49" s="4" t="s">
        <v>34</v>
      </c>
      <c r="B49" s="4"/>
      <c r="C49" s="4"/>
      <c r="D49" s="2"/>
      <c r="E49" s="2">
        <v>210496</v>
      </c>
      <c r="F49" s="2">
        <v>344231</v>
      </c>
      <c r="G49" s="2"/>
      <c r="H49" s="2"/>
      <c r="I49" s="2"/>
      <c r="J49" s="2"/>
      <c r="K49" s="5"/>
      <c r="L49" s="5"/>
      <c r="M49" s="2"/>
      <c r="N49" s="2"/>
      <c r="O49" s="2"/>
      <c r="P49" s="2"/>
      <c r="Q49" s="2"/>
    </row>
    <row r="50" spans="1:17" s="6" customFormat="1" x14ac:dyDescent="0.25">
      <c r="A50" s="4" t="s">
        <v>35</v>
      </c>
      <c r="B50" s="4"/>
      <c r="C50" s="4"/>
      <c r="D50" s="2">
        <v>347669</v>
      </c>
      <c r="E50" s="2">
        <v>396397</v>
      </c>
      <c r="F50" s="2">
        <v>285995</v>
      </c>
      <c r="G50" s="2">
        <v>560800</v>
      </c>
      <c r="H50" s="2">
        <v>590322</v>
      </c>
      <c r="I50" s="2">
        <v>616797</v>
      </c>
      <c r="J50" s="2">
        <v>1651254</v>
      </c>
      <c r="K50" s="5"/>
      <c r="L50" s="5"/>
      <c r="M50" s="2">
        <f>0.02*M7</f>
        <v>496989.40560000006</v>
      </c>
      <c r="N50" s="2">
        <f t="shared" ref="N50:P50" si="12">0.02*N7</f>
        <v>531778.66399200005</v>
      </c>
      <c r="O50" s="2">
        <f t="shared" si="12"/>
        <v>569003.17047144007</v>
      </c>
      <c r="P50" s="2">
        <f t="shared" si="12"/>
        <v>608833.39240444091</v>
      </c>
      <c r="Q50" s="2" t="s">
        <v>79</v>
      </c>
    </row>
    <row r="51" spans="1:17" s="6" customFormat="1" x14ac:dyDescent="0.25">
      <c r="A51" s="4" t="s">
        <v>36</v>
      </c>
      <c r="B51" s="4"/>
      <c r="C51" s="4"/>
      <c r="D51" s="2">
        <v>20505669</v>
      </c>
      <c r="E51" s="2">
        <v>22760567</v>
      </c>
      <c r="F51" s="2">
        <v>25108695</v>
      </c>
      <c r="G51" s="2">
        <v>27847603</v>
      </c>
      <c r="H51" s="2">
        <v>29878758</v>
      </c>
      <c r="I51" s="2">
        <v>29965402</v>
      </c>
      <c r="J51" s="2">
        <v>29808242</v>
      </c>
      <c r="K51" s="5"/>
      <c r="L51" s="5"/>
      <c r="M51" s="2">
        <f>M8</f>
        <v>14412692.762399999</v>
      </c>
      <c r="N51" s="2">
        <f t="shared" ref="N51:P51" si="13">N8</f>
        <v>15421581.255768001</v>
      </c>
      <c r="O51" s="2">
        <f t="shared" si="13"/>
        <v>16501091.943671761</v>
      </c>
      <c r="P51" s="2">
        <f t="shared" si="13"/>
        <v>17656168.379728787</v>
      </c>
      <c r="Q51" s="2" t="s">
        <v>72</v>
      </c>
    </row>
    <row r="52" spans="1:17" s="6" customFormat="1" x14ac:dyDescent="0.25">
      <c r="A52" s="4" t="s">
        <v>37</v>
      </c>
      <c r="B52" s="4"/>
      <c r="C52" s="4"/>
      <c r="D52" s="2"/>
      <c r="E52" s="2"/>
      <c r="F52" s="2"/>
      <c r="G52" s="2"/>
      <c r="H52" s="2"/>
      <c r="I52" s="2">
        <v>865024</v>
      </c>
      <c r="J52" s="2">
        <v>254384</v>
      </c>
      <c r="K52" s="5"/>
      <c r="L52" s="5"/>
      <c r="M52" s="2">
        <v>865024</v>
      </c>
      <c r="N52" s="2">
        <v>865024</v>
      </c>
      <c r="O52" s="2">
        <v>865024</v>
      </c>
      <c r="P52" s="2">
        <v>865024</v>
      </c>
      <c r="Q52" s="2" t="s">
        <v>107</v>
      </c>
    </row>
    <row r="53" spans="1:17" s="6" customFormat="1" x14ac:dyDescent="0.25">
      <c r="A53" s="4" t="s">
        <v>38</v>
      </c>
      <c r="B53" s="4"/>
      <c r="C53" s="4"/>
      <c r="D53" s="2"/>
      <c r="E53" s="2"/>
      <c r="F53" s="2">
        <v>1918</v>
      </c>
      <c r="G53" s="2">
        <v>465620</v>
      </c>
      <c r="H53" s="2">
        <v>137511</v>
      </c>
      <c r="I53" s="2">
        <v>534686</v>
      </c>
      <c r="J53" s="2">
        <v>613970</v>
      </c>
      <c r="K53" s="5"/>
      <c r="L53" s="5"/>
      <c r="M53" s="2">
        <v>534686</v>
      </c>
      <c r="N53" s="2">
        <v>534686</v>
      </c>
      <c r="O53" s="2">
        <v>534686</v>
      </c>
      <c r="P53" s="2">
        <v>534686</v>
      </c>
      <c r="Q53" s="2" t="s">
        <v>107</v>
      </c>
    </row>
    <row r="54" spans="1:17" s="6" customFormat="1" x14ac:dyDescent="0.25">
      <c r="A54" s="4" t="s">
        <v>39</v>
      </c>
      <c r="B54" s="4"/>
      <c r="C54" s="4"/>
      <c r="D54" s="2"/>
      <c r="E54" s="2">
        <v>11743</v>
      </c>
      <c r="F54" s="2">
        <v>51208</v>
      </c>
      <c r="G54" s="2">
        <v>4453</v>
      </c>
      <c r="H54" s="2">
        <v>83130</v>
      </c>
      <c r="I54" s="2">
        <v>58188</v>
      </c>
      <c r="J54" s="2">
        <v>73026</v>
      </c>
      <c r="K54" s="5"/>
      <c r="L54" s="5"/>
      <c r="M54" s="2">
        <v>58188</v>
      </c>
      <c r="N54" s="2">
        <v>58188</v>
      </c>
      <c r="O54" s="2">
        <v>58188</v>
      </c>
      <c r="P54" s="2">
        <v>58188</v>
      </c>
      <c r="Q54" s="2" t="s">
        <v>107</v>
      </c>
    </row>
    <row r="55" spans="1:17" s="6" customFormat="1" x14ac:dyDescent="0.25">
      <c r="A55" s="4" t="s">
        <v>40</v>
      </c>
      <c r="B55" s="4"/>
      <c r="C55" s="4"/>
      <c r="D55" s="2">
        <v>671961</v>
      </c>
      <c r="E55" s="2">
        <v>280142</v>
      </c>
      <c r="F55" s="2">
        <v>240526</v>
      </c>
      <c r="G55" s="2">
        <v>247038</v>
      </c>
      <c r="H55" s="2">
        <v>268306</v>
      </c>
      <c r="I55" s="2">
        <v>243221</v>
      </c>
      <c r="J55" s="2">
        <v>750512</v>
      </c>
      <c r="K55" s="5"/>
      <c r="L55" s="5"/>
      <c r="M55" s="2">
        <v>243221</v>
      </c>
      <c r="N55" s="2">
        <v>243221</v>
      </c>
      <c r="O55" s="2">
        <v>243221</v>
      </c>
      <c r="P55" s="2">
        <v>243221</v>
      </c>
      <c r="Q55" s="2" t="s">
        <v>107</v>
      </c>
    </row>
    <row r="56" spans="1:17" s="6" customFormat="1" x14ac:dyDescent="0.25">
      <c r="A56" s="4"/>
      <c r="B56" s="4"/>
      <c r="C56" s="4"/>
      <c r="D56" s="2">
        <f t="shared" ref="D56:J56" si="14">+SUM(D49:D55)</f>
        <v>21525299</v>
      </c>
      <c r="E56" s="2">
        <f t="shared" si="14"/>
        <v>23659345</v>
      </c>
      <c r="F56" s="2">
        <f t="shared" si="14"/>
        <v>26032573</v>
      </c>
      <c r="G56" s="2">
        <f t="shared" si="14"/>
        <v>29125514</v>
      </c>
      <c r="H56" s="2">
        <f t="shared" si="14"/>
        <v>30958027</v>
      </c>
      <c r="I56" s="2">
        <f t="shared" si="14"/>
        <v>32283318</v>
      </c>
      <c r="J56" s="2">
        <f t="shared" si="14"/>
        <v>33151388</v>
      </c>
      <c r="K56" s="5"/>
      <c r="L56" s="5"/>
      <c r="M56" s="2">
        <f>SUM(M50:M55)</f>
        <v>16610801.168</v>
      </c>
      <c r="N56" s="2">
        <f t="shared" ref="N56:P56" si="15">SUM(N50:N55)</f>
        <v>17654478.919760004</v>
      </c>
      <c r="O56" s="2">
        <f t="shared" si="15"/>
        <v>18771214.1141432</v>
      </c>
      <c r="P56" s="2">
        <f t="shared" si="15"/>
        <v>19966120.772133227</v>
      </c>
      <c r="Q56" s="2"/>
    </row>
    <row r="57" spans="1:17" s="6" customFormat="1" x14ac:dyDescent="0.25">
      <c r="A57" s="4" t="s">
        <v>42</v>
      </c>
      <c r="B57" s="4"/>
      <c r="C57" s="4"/>
      <c r="D57" s="2">
        <v>21831000</v>
      </c>
      <c r="E57" s="2">
        <v>21768993</v>
      </c>
      <c r="F57" s="2">
        <v>21141229</v>
      </c>
      <c r="G57" s="2">
        <v>21092890</v>
      </c>
      <c r="H57" s="2">
        <v>20468725</v>
      </c>
      <c r="I57" s="2">
        <v>16121850</v>
      </c>
      <c r="J57" s="2">
        <v>16453238</v>
      </c>
      <c r="K57" s="2"/>
      <c r="L57" s="2"/>
      <c r="M57" s="2">
        <v>16453238</v>
      </c>
      <c r="N57" s="2">
        <v>16453238</v>
      </c>
      <c r="O57" s="2">
        <v>16453238</v>
      </c>
      <c r="P57" s="2">
        <v>16453238</v>
      </c>
      <c r="Q57" s="2" t="s">
        <v>107</v>
      </c>
    </row>
    <row r="58" spans="1:17" s="6" customFormat="1" x14ac:dyDescent="0.25">
      <c r="A58" s="4" t="s">
        <v>41</v>
      </c>
      <c r="B58" s="4"/>
      <c r="C58" s="4"/>
      <c r="D58" s="2"/>
      <c r="E58" s="2"/>
      <c r="F58" s="2"/>
      <c r="G58" s="2"/>
      <c r="H58" s="2"/>
      <c r="I58" s="2">
        <v>3963263</v>
      </c>
      <c r="J58" s="2">
        <v>3963263</v>
      </c>
      <c r="K58" s="2"/>
      <c r="L58" s="2"/>
      <c r="M58" s="2">
        <v>3963263</v>
      </c>
      <c r="N58" s="2">
        <v>3963263</v>
      </c>
      <c r="O58" s="2">
        <v>3963263</v>
      </c>
      <c r="P58" s="2">
        <v>3963263</v>
      </c>
      <c r="Q58" s="2" t="s">
        <v>107</v>
      </c>
    </row>
    <row r="59" spans="1:17" s="6" customFormat="1" x14ac:dyDescent="0.25">
      <c r="A59" s="4" t="s">
        <v>43</v>
      </c>
      <c r="B59" s="4"/>
      <c r="C59" s="4"/>
      <c r="D59" s="2">
        <v>251516</v>
      </c>
      <c r="E59" s="2">
        <v>251516</v>
      </c>
      <c r="F59" s="2">
        <v>251516</v>
      </c>
      <c r="G59" s="2">
        <v>251516</v>
      </c>
      <c r="H59" s="2">
        <v>251516</v>
      </c>
      <c r="I59" s="2">
        <v>251516</v>
      </c>
      <c r="J59" s="2">
        <v>251516</v>
      </c>
      <c r="K59" s="2"/>
      <c r="L59" s="2"/>
      <c r="M59" s="2">
        <v>251516</v>
      </c>
      <c r="N59" s="2">
        <v>251516</v>
      </c>
      <c r="O59" s="2">
        <v>251516</v>
      </c>
      <c r="P59" s="2">
        <v>251516</v>
      </c>
      <c r="Q59" s="2" t="s">
        <v>107</v>
      </c>
    </row>
    <row r="60" spans="1:17" s="6" customFormat="1" x14ac:dyDescent="0.25">
      <c r="A60" s="54" t="s">
        <v>109</v>
      </c>
      <c r="B60" s="4"/>
      <c r="C60" s="4"/>
      <c r="D60" s="2">
        <f>SUM(D57:D59)</f>
        <v>22082516</v>
      </c>
      <c r="E60" s="2">
        <f t="shared" ref="E60:P60" si="16">SUM(E57:E59)</f>
        <v>22020509</v>
      </c>
      <c r="F60" s="2">
        <f t="shared" si="16"/>
        <v>21392745</v>
      </c>
      <c r="G60" s="2">
        <f t="shared" si="16"/>
        <v>21344406</v>
      </c>
      <c r="H60" s="2">
        <f t="shared" si="16"/>
        <v>20720241</v>
      </c>
      <c r="I60" s="2">
        <f t="shared" si="16"/>
        <v>20336629</v>
      </c>
      <c r="J60" s="2">
        <f t="shared" si="16"/>
        <v>20668017</v>
      </c>
      <c r="K60" s="2">
        <f t="shared" si="16"/>
        <v>0</v>
      </c>
      <c r="L60" s="2"/>
      <c r="M60" s="2">
        <f t="shared" si="16"/>
        <v>20668017</v>
      </c>
      <c r="N60" s="2">
        <f t="shared" si="16"/>
        <v>20668017</v>
      </c>
      <c r="O60" s="2">
        <f t="shared" si="16"/>
        <v>20668017</v>
      </c>
      <c r="P60" s="2">
        <f t="shared" si="16"/>
        <v>20668017</v>
      </c>
      <c r="Q60" s="2"/>
    </row>
    <row r="61" spans="1:17" s="6" customFormat="1" x14ac:dyDescent="0.25">
      <c r="A61" s="4"/>
      <c r="B61" s="4"/>
      <c r="C61" s="4"/>
      <c r="D61" s="2">
        <f>+D56+D57+D59</f>
        <v>43607815</v>
      </c>
      <c r="E61" s="2">
        <f>+E56+E57+E59</f>
        <v>45679854</v>
      </c>
      <c r="F61" s="2">
        <f>+F56+F57+F59</f>
        <v>47425318</v>
      </c>
      <c r="G61" s="2">
        <f>+G56+G57+G59</f>
        <v>50469920</v>
      </c>
      <c r="H61" s="2">
        <f>+H56+H57+H59</f>
        <v>51678268</v>
      </c>
      <c r="I61" s="2">
        <f>+I56+I57+I59+I58</f>
        <v>52619947</v>
      </c>
      <c r="J61" s="2">
        <f>+J56+J57+J59</f>
        <v>49856142</v>
      </c>
      <c r="K61" s="2"/>
      <c r="L61" s="2"/>
      <c r="M61" s="2">
        <f t="shared" ref="M61:P61" si="17">+M56+M57+M59</f>
        <v>33315555.167999998</v>
      </c>
      <c r="N61" s="2">
        <f t="shared" si="17"/>
        <v>34359232.919760004</v>
      </c>
      <c r="O61" s="2">
        <f t="shared" si="17"/>
        <v>35475968.1141432</v>
      </c>
      <c r="P61" s="2">
        <f t="shared" si="17"/>
        <v>36670874.772133231</v>
      </c>
      <c r="Q61" s="2"/>
    </row>
    <row r="62" spans="1:17" s="6" customFormat="1" x14ac:dyDescent="0.25">
      <c r="A62" s="4"/>
      <c r="B62" s="4"/>
      <c r="C62" s="4"/>
      <c r="D62" s="2"/>
      <c r="E62" s="2"/>
      <c r="F62" s="2"/>
      <c r="G62" s="2"/>
      <c r="H62" s="2"/>
      <c r="I62" s="2"/>
      <c r="J62" s="2"/>
      <c r="K62" s="5"/>
      <c r="L62" s="5"/>
      <c r="M62" s="2"/>
      <c r="N62" s="2"/>
      <c r="O62" s="2"/>
      <c r="P62" s="2"/>
      <c r="Q62" s="2"/>
    </row>
    <row r="63" spans="1:17" s="6" customFormat="1" x14ac:dyDescent="0.25">
      <c r="A63" s="3" t="s">
        <v>44</v>
      </c>
      <c r="B63" s="4"/>
      <c r="C63" s="4"/>
      <c r="D63" s="2"/>
      <c r="E63" s="2"/>
      <c r="F63" s="2"/>
      <c r="G63" s="2"/>
      <c r="H63" s="2"/>
      <c r="I63" s="2"/>
      <c r="J63" s="2"/>
      <c r="K63" s="5"/>
      <c r="L63" s="5"/>
      <c r="M63" s="2"/>
      <c r="N63" s="2"/>
      <c r="O63" s="2"/>
      <c r="P63" s="2"/>
      <c r="Q63" s="2"/>
    </row>
    <row r="64" spans="1:17" s="6" customFormat="1" x14ac:dyDescent="0.25">
      <c r="A64" s="4" t="s">
        <v>45</v>
      </c>
      <c r="B64" s="4"/>
      <c r="C64" s="4"/>
      <c r="D64" s="2"/>
      <c r="E64" s="2"/>
      <c r="F64" s="2"/>
      <c r="G64" s="2"/>
      <c r="H64" s="2"/>
      <c r="I64" s="2"/>
      <c r="J64" s="2"/>
      <c r="K64" s="5"/>
      <c r="L64" s="5"/>
      <c r="M64" s="2"/>
      <c r="N64" s="2"/>
      <c r="O64" s="2"/>
      <c r="P64" s="2"/>
      <c r="Q64" s="2"/>
    </row>
    <row r="65" spans="1:17" s="6" customFormat="1" x14ac:dyDescent="0.25">
      <c r="A65" s="4" t="s">
        <v>46</v>
      </c>
      <c r="B65" s="4"/>
      <c r="C65" s="4"/>
      <c r="D65" s="2">
        <v>4757181</v>
      </c>
      <c r="E65" s="2">
        <v>5610864</v>
      </c>
      <c r="F65" s="2">
        <v>5536786</v>
      </c>
      <c r="G65" s="2">
        <v>5881325</v>
      </c>
      <c r="H65" s="2">
        <v>5249398</v>
      </c>
      <c r="I65" s="2">
        <v>4979570</v>
      </c>
      <c r="J65" s="2">
        <v>4906853</v>
      </c>
      <c r="K65" s="5"/>
      <c r="L65" s="5"/>
      <c r="M65" s="2">
        <f>I65*0.95</f>
        <v>4730591.5</v>
      </c>
      <c r="N65" s="2">
        <f>M65*0.95</f>
        <v>4494061.9249999998</v>
      </c>
      <c r="O65" s="2">
        <f t="shared" ref="O65:P65" si="18">N65*0.95</f>
        <v>4269358.8287499994</v>
      </c>
      <c r="P65" s="2">
        <f t="shared" si="18"/>
        <v>4055890.8873124993</v>
      </c>
      <c r="Q65" s="2" t="s">
        <v>100</v>
      </c>
    </row>
    <row r="66" spans="1:17" s="6" customFormat="1" x14ac:dyDescent="0.25">
      <c r="A66" s="4" t="s">
        <v>47</v>
      </c>
      <c r="B66" s="4"/>
      <c r="C66" s="4"/>
      <c r="D66" s="2">
        <v>1289814</v>
      </c>
      <c r="E66" s="2">
        <v>790565</v>
      </c>
      <c r="F66" s="2">
        <v>704514</v>
      </c>
      <c r="G66" s="2">
        <v>1437033</v>
      </c>
      <c r="H66" s="2">
        <v>1568495</v>
      </c>
      <c r="I66" s="2">
        <v>1167308</v>
      </c>
      <c r="J66" s="2">
        <v>1441570</v>
      </c>
      <c r="K66" s="5"/>
      <c r="L66" s="5"/>
      <c r="M66" s="2">
        <v>1167308</v>
      </c>
      <c r="N66" s="2">
        <v>1167308</v>
      </c>
      <c r="O66" s="2">
        <v>1167308</v>
      </c>
      <c r="P66" s="2">
        <v>1167308</v>
      </c>
      <c r="Q66" s="2" t="s">
        <v>101</v>
      </c>
    </row>
    <row r="67" spans="1:17" s="6" customFormat="1" x14ac:dyDescent="0.25">
      <c r="A67" s="4" t="s">
        <v>48</v>
      </c>
      <c r="B67" s="4"/>
      <c r="C67" s="4"/>
      <c r="D67" s="2">
        <v>1477404</v>
      </c>
      <c r="E67" s="2">
        <v>783886</v>
      </c>
      <c r="F67" s="2">
        <v>850027</v>
      </c>
      <c r="G67" s="2">
        <v>784920</v>
      </c>
      <c r="H67" s="2">
        <v>1041811</v>
      </c>
      <c r="I67" s="2">
        <v>1669600</v>
      </c>
      <c r="J67" s="2">
        <v>1637822</v>
      </c>
      <c r="K67" s="5"/>
      <c r="L67" s="5"/>
      <c r="M67" s="2">
        <f>M71*0.12</f>
        <v>462002.18400000001</v>
      </c>
      <c r="N67" s="2">
        <f t="shared" ref="N67:P67" si="19">N71*0.12</f>
        <v>415801.96560000005</v>
      </c>
      <c r="O67" s="2">
        <f t="shared" si="19"/>
        <v>374221.76904000004</v>
      </c>
      <c r="P67" s="2">
        <f t="shared" si="19"/>
        <v>336799.59213600005</v>
      </c>
      <c r="Q67" s="2" t="s">
        <v>102</v>
      </c>
    </row>
    <row r="68" spans="1:17" s="6" customFormat="1" x14ac:dyDescent="0.25">
      <c r="A68" s="4" t="s">
        <v>49</v>
      </c>
      <c r="B68" s="4"/>
      <c r="C68" s="4"/>
      <c r="D68" s="2"/>
      <c r="E68" s="2"/>
      <c r="F68" s="2"/>
      <c r="G68" s="2"/>
      <c r="H68" s="2">
        <v>300000</v>
      </c>
      <c r="I68" s="2">
        <v>300000</v>
      </c>
      <c r="J68" s="2">
        <v>300000</v>
      </c>
      <c r="K68" s="5"/>
      <c r="L68" s="5"/>
      <c r="M68" s="2"/>
      <c r="N68" s="2"/>
      <c r="O68" s="2"/>
      <c r="P68" s="2"/>
      <c r="Q68" s="2" t="s">
        <v>104</v>
      </c>
    </row>
    <row r="69" spans="1:17" s="6" customFormat="1" x14ac:dyDescent="0.25">
      <c r="A69" s="4" t="s">
        <v>50</v>
      </c>
      <c r="B69" s="4"/>
      <c r="C69" s="4"/>
      <c r="D69" s="2">
        <v>130754</v>
      </c>
      <c r="E69" s="2">
        <v>176790</v>
      </c>
      <c r="F69" s="2"/>
      <c r="G69" s="2"/>
      <c r="H69" s="2"/>
      <c r="I69" s="2"/>
      <c r="J69" s="2"/>
      <c r="K69" s="5"/>
      <c r="L69" s="5"/>
      <c r="M69" s="2"/>
      <c r="N69" s="2"/>
      <c r="O69" s="2"/>
      <c r="P69" s="2"/>
      <c r="Q69" s="2"/>
    </row>
    <row r="70" spans="1:17" s="6" customFormat="1" x14ac:dyDescent="0.25">
      <c r="A70" s="4"/>
      <c r="B70" s="4"/>
      <c r="C70" s="4"/>
      <c r="D70" s="2">
        <f t="shared" ref="D70:J70" si="20">+SUM(D65:D69)</f>
        <v>7655153</v>
      </c>
      <c r="E70" s="2">
        <f t="shared" si="20"/>
        <v>7362105</v>
      </c>
      <c r="F70" s="2">
        <f t="shared" si="20"/>
        <v>7091327</v>
      </c>
      <c r="G70" s="2">
        <f t="shared" si="20"/>
        <v>8103278</v>
      </c>
      <c r="H70" s="2">
        <f t="shared" si="20"/>
        <v>8159704</v>
      </c>
      <c r="I70" s="2">
        <f t="shared" si="20"/>
        <v>8116478</v>
      </c>
      <c r="J70" s="2">
        <f t="shared" si="20"/>
        <v>8286245</v>
      </c>
      <c r="K70" s="5"/>
      <c r="L70" s="5"/>
      <c r="M70" s="2">
        <f>SUM(M65:M67)</f>
        <v>6359901.6840000004</v>
      </c>
      <c r="N70" s="2">
        <f t="shared" ref="N70:P70" si="21">SUM(N65:N67)</f>
        <v>6077171.8905999996</v>
      </c>
      <c r="O70" s="2">
        <f t="shared" si="21"/>
        <v>5810888.5977899991</v>
      </c>
      <c r="P70" s="2">
        <f t="shared" si="21"/>
        <v>5559998.4794485001</v>
      </c>
      <c r="Q70" s="2"/>
    </row>
    <row r="71" spans="1:17" s="6" customFormat="1" x14ac:dyDescent="0.25">
      <c r="A71" s="4" t="s">
        <v>51</v>
      </c>
      <c r="B71" s="4"/>
      <c r="C71" s="4"/>
      <c r="D71" s="2">
        <v>8681328</v>
      </c>
      <c r="E71" s="2">
        <v>7949860</v>
      </c>
      <c r="F71" s="2">
        <v>7238694</v>
      </c>
      <c r="G71" s="2">
        <v>6616380</v>
      </c>
      <c r="H71" s="2">
        <v>5665914</v>
      </c>
      <c r="I71" s="2">
        <v>4277798</v>
      </c>
      <c r="J71" s="2">
        <v>4022879</v>
      </c>
      <c r="K71" s="5"/>
      <c r="L71" s="5"/>
      <c r="M71" s="2">
        <f>I71*0.9</f>
        <v>3850018.2</v>
      </c>
      <c r="N71" s="2">
        <f>M71*0.9</f>
        <v>3465016.3800000004</v>
      </c>
      <c r="O71" s="2">
        <f t="shared" ref="O71:P71" si="22">N71*0.9</f>
        <v>3118514.7420000006</v>
      </c>
      <c r="P71" s="2">
        <f t="shared" si="22"/>
        <v>2806663.2678000005</v>
      </c>
      <c r="Q71" s="2" t="s">
        <v>103</v>
      </c>
    </row>
    <row r="72" spans="1:17" s="6" customFormat="1" x14ac:dyDescent="0.25">
      <c r="A72" s="4" t="s">
        <v>52</v>
      </c>
      <c r="B72" s="4"/>
      <c r="C72" s="4"/>
      <c r="D72" s="2"/>
      <c r="E72" s="2"/>
      <c r="F72" s="2"/>
      <c r="G72" s="2"/>
      <c r="H72" s="2">
        <v>740000</v>
      </c>
      <c r="I72" s="2">
        <v>440000</v>
      </c>
      <c r="J72" s="2">
        <v>140000</v>
      </c>
      <c r="K72" s="5"/>
      <c r="L72" s="5"/>
      <c r="M72" s="2"/>
      <c r="N72" s="2"/>
      <c r="O72" s="2"/>
      <c r="P72" s="2"/>
      <c r="Q72" s="2" t="s">
        <v>104</v>
      </c>
    </row>
    <row r="73" spans="1:17" s="6" customFormat="1" x14ac:dyDescent="0.25">
      <c r="A73" s="4" t="s">
        <v>53</v>
      </c>
      <c r="B73" s="4"/>
      <c r="C73" s="4"/>
      <c r="D73" s="2">
        <v>1047517</v>
      </c>
      <c r="E73" s="2">
        <v>978147</v>
      </c>
      <c r="F73" s="2">
        <v>932046</v>
      </c>
      <c r="G73" s="2">
        <v>826832</v>
      </c>
      <c r="H73" s="2">
        <v>482856</v>
      </c>
      <c r="I73" s="2">
        <v>703838</v>
      </c>
      <c r="J73" s="2">
        <v>970095</v>
      </c>
      <c r="K73" s="5"/>
      <c r="L73" s="5"/>
      <c r="M73" s="36">
        <f>M23*0.7</f>
        <v>877529.30638464016</v>
      </c>
      <c r="N73" s="36">
        <f t="shared" ref="N73:P73" si="23">N23*0.7</f>
        <v>963617.86872449319</v>
      </c>
      <c r="O73" s="36">
        <f t="shared" si="23"/>
        <v>1054808.9956618831</v>
      </c>
      <c r="P73" s="36">
        <f t="shared" si="23"/>
        <v>1151552.2301952622</v>
      </c>
      <c r="Q73" s="2" t="s">
        <v>105</v>
      </c>
    </row>
    <row r="74" spans="1:17" s="6" customFormat="1" x14ac:dyDescent="0.25">
      <c r="A74" s="4"/>
      <c r="B74" s="4"/>
      <c r="C74" s="4"/>
      <c r="D74" s="2">
        <f t="shared" ref="D74:J74" si="24">+D70+D71+D72+D73</f>
        <v>17383998</v>
      </c>
      <c r="E74" s="2">
        <f t="shared" si="24"/>
        <v>16290112</v>
      </c>
      <c r="F74" s="2">
        <f t="shared" si="24"/>
        <v>15262067</v>
      </c>
      <c r="G74" s="2">
        <f t="shared" si="24"/>
        <v>15546490</v>
      </c>
      <c r="H74" s="2">
        <f t="shared" si="24"/>
        <v>15048474</v>
      </c>
      <c r="I74" s="2">
        <f t="shared" si="24"/>
        <v>13538114</v>
      </c>
      <c r="J74" s="2">
        <f t="shared" si="24"/>
        <v>13419219</v>
      </c>
      <c r="K74" s="5"/>
      <c r="L74" s="5"/>
      <c r="M74" s="2">
        <f>SUM(M70:M73)</f>
        <v>11087449.190384639</v>
      </c>
      <c r="N74" s="2">
        <f t="shared" ref="N74:P74" si="25">SUM(N70:N73)</f>
        <v>10505806.139324494</v>
      </c>
      <c r="O74" s="2">
        <f t="shared" si="25"/>
        <v>9984212.3354518823</v>
      </c>
      <c r="P74" s="2">
        <f t="shared" si="25"/>
        <v>9518213.9774437621</v>
      </c>
      <c r="Q74" s="2"/>
    </row>
    <row r="75" spans="1:17" s="6" customFormat="1" x14ac:dyDescent="0.25">
      <c r="A75" s="3" t="s">
        <v>54</v>
      </c>
      <c r="B75" s="4"/>
      <c r="C75" s="4"/>
      <c r="D75" s="2">
        <v>26223817</v>
      </c>
      <c r="E75" s="2">
        <v>29389742</v>
      </c>
      <c r="F75" s="2">
        <v>32163251</v>
      </c>
      <c r="G75" s="2">
        <v>34923430</v>
      </c>
      <c r="H75" s="2">
        <v>36629794</v>
      </c>
      <c r="I75" s="2">
        <v>39081833</v>
      </c>
      <c r="J75" s="2">
        <v>40400186</v>
      </c>
      <c r="K75" s="5"/>
      <c r="L75" s="5"/>
      <c r="M75" s="2">
        <v>39081833</v>
      </c>
      <c r="N75" s="2">
        <v>39081833</v>
      </c>
      <c r="O75" s="2">
        <v>39081833</v>
      </c>
      <c r="P75" s="2">
        <v>39081833</v>
      </c>
      <c r="Q75" s="2" t="s">
        <v>107</v>
      </c>
    </row>
    <row r="76" spans="1:17" s="6" customFormat="1" x14ac:dyDescent="0.25">
      <c r="A76" s="4"/>
      <c r="B76" s="4"/>
      <c r="C76" s="4"/>
      <c r="D76" s="2">
        <f t="shared" ref="D76:J76" si="26">+D74+D75</f>
        <v>43607815</v>
      </c>
      <c r="E76" s="2">
        <f t="shared" si="26"/>
        <v>45679854</v>
      </c>
      <c r="F76" s="2">
        <f t="shared" si="26"/>
        <v>47425318</v>
      </c>
      <c r="G76" s="2">
        <f t="shared" si="26"/>
        <v>50469920</v>
      </c>
      <c r="H76" s="2">
        <f t="shared" si="26"/>
        <v>51678268</v>
      </c>
      <c r="I76" s="2">
        <f t="shared" si="26"/>
        <v>52619947</v>
      </c>
      <c r="J76" s="2">
        <f t="shared" si="26"/>
        <v>53819405</v>
      </c>
      <c r="K76" s="5"/>
      <c r="L76" s="5"/>
      <c r="M76" s="2">
        <f>M75+M74</f>
        <v>50169282.190384641</v>
      </c>
      <c r="N76" s="2">
        <f t="shared" ref="N76:P76" si="27">N75+N74</f>
        <v>49587639.139324494</v>
      </c>
      <c r="O76" s="2">
        <f t="shared" si="27"/>
        <v>49066045.335451886</v>
      </c>
      <c r="P76" s="2">
        <f t="shared" si="27"/>
        <v>48600046.977443762</v>
      </c>
      <c r="Q76" s="2"/>
    </row>
    <row r="77" spans="1:17" s="27" customFormat="1" x14ac:dyDescent="0.25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5"/>
      <c r="L77" s="25"/>
      <c r="M77" s="26"/>
      <c r="N77" s="26"/>
      <c r="O77" s="26"/>
      <c r="P77" s="26"/>
      <c r="Q77" s="26"/>
    </row>
    <row r="78" spans="1:17" s="27" customFormat="1" x14ac:dyDescent="0.25">
      <c r="A78" s="23" t="s">
        <v>57</v>
      </c>
      <c r="B78" s="24"/>
      <c r="C78" s="24"/>
      <c r="D78" s="24"/>
      <c r="E78" s="24"/>
      <c r="F78" s="24"/>
      <c r="G78" s="24"/>
      <c r="H78" s="24"/>
      <c r="I78" s="24"/>
      <c r="J78" s="24"/>
      <c r="K78" s="25"/>
      <c r="L78" s="25"/>
      <c r="M78" s="26"/>
      <c r="N78" s="26"/>
      <c r="O78" s="26"/>
      <c r="P78" s="26"/>
      <c r="Q78" s="26"/>
    </row>
    <row r="79" spans="1:17" s="27" customFormat="1" x14ac:dyDescent="0.25">
      <c r="A79" s="23" t="s">
        <v>58</v>
      </c>
      <c r="B79" s="24"/>
      <c r="C79" s="24"/>
      <c r="D79" s="28"/>
      <c r="E79" s="28"/>
      <c r="F79" s="28"/>
      <c r="G79" s="28"/>
      <c r="H79" s="28"/>
      <c r="I79" s="24"/>
      <c r="J79" s="28" t="s">
        <v>59</v>
      </c>
      <c r="K79" s="25"/>
      <c r="L79" s="25"/>
      <c r="M79" s="26"/>
      <c r="N79" s="26"/>
      <c r="O79" s="26"/>
      <c r="P79" s="26"/>
      <c r="Q79" s="26"/>
    </row>
    <row r="80" spans="1:17" s="27" customFormat="1" x14ac:dyDescent="0.25">
      <c r="A80" s="23"/>
      <c r="B80" s="24"/>
      <c r="C80" s="24"/>
      <c r="D80" s="28">
        <v>2006</v>
      </c>
      <c r="E80" s="28">
        <v>2007</v>
      </c>
      <c r="F80" s="28">
        <v>2008</v>
      </c>
      <c r="G80" s="28">
        <v>2009</v>
      </c>
      <c r="H80" s="28">
        <v>2010</v>
      </c>
      <c r="I80" s="28">
        <v>2011</v>
      </c>
      <c r="J80" s="28">
        <v>2012</v>
      </c>
      <c r="K80" s="25"/>
      <c r="L80" s="25"/>
      <c r="M80" s="26"/>
      <c r="N80" s="26"/>
      <c r="O80" s="26"/>
      <c r="P80" s="26"/>
      <c r="Q80" s="26"/>
    </row>
    <row r="81" spans="1:17" s="27" customForma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5"/>
      <c r="L81" s="25"/>
      <c r="M81" s="26"/>
      <c r="N81" s="26"/>
      <c r="O81" s="26"/>
      <c r="P81" s="26"/>
      <c r="Q81" s="26"/>
    </row>
    <row r="82" spans="1:17" s="27" customFormat="1" x14ac:dyDescent="0.25">
      <c r="A82" s="24" t="s">
        <v>1</v>
      </c>
      <c r="B82" s="24"/>
      <c r="C82" s="24"/>
      <c r="D82" s="29">
        <v>1</v>
      </c>
      <c r="E82" s="29">
        <v>1</v>
      </c>
      <c r="F82" s="29">
        <v>1</v>
      </c>
      <c r="G82" s="29">
        <v>1</v>
      </c>
      <c r="H82" s="29">
        <v>1</v>
      </c>
      <c r="I82" s="29">
        <v>1</v>
      </c>
      <c r="J82" s="29">
        <v>1</v>
      </c>
      <c r="K82" s="25"/>
      <c r="L82" s="25"/>
      <c r="M82" s="26"/>
      <c r="N82" s="26"/>
      <c r="O82" s="26"/>
      <c r="P82" s="26"/>
      <c r="Q82" s="26"/>
    </row>
    <row r="83" spans="1:17" s="27" customFormat="1" x14ac:dyDescent="0.25">
      <c r="A83" s="24" t="s">
        <v>4</v>
      </c>
      <c r="B83" s="24"/>
      <c r="C83" s="24"/>
      <c r="D83" s="29">
        <v>0.51959999999999995</v>
      </c>
      <c r="E83" s="29">
        <v>0.52390000000000003</v>
      </c>
      <c r="F83" s="29">
        <v>0.52110000000000001</v>
      </c>
      <c r="G83" s="29">
        <v>0.58940000000000003</v>
      </c>
      <c r="H83" s="29">
        <v>0.57650000000000001</v>
      </c>
      <c r="I83" s="29">
        <v>0.59079999999999999</v>
      </c>
      <c r="J83" s="29">
        <f>+J8/$J$7</f>
        <v>0.58923659872266909</v>
      </c>
      <c r="K83" s="25"/>
      <c r="L83" s="25"/>
      <c r="M83" s="26"/>
      <c r="N83" s="26"/>
      <c r="O83" s="26"/>
      <c r="P83" s="26"/>
      <c r="Q83" s="26"/>
    </row>
    <row r="84" spans="1:17" s="27" customFormat="1" x14ac:dyDescent="0.25">
      <c r="A84" s="24" t="s">
        <v>2</v>
      </c>
      <c r="B84" s="24"/>
      <c r="C84" s="24"/>
      <c r="D84" s="29"/>
      <c r="E84" s="29"/>
      <c r="F84" s="29">
        <v>2.7900000000000001E-2</v>
      </c>
      <c r="G84" s="29">
        <v>2.1299999999999999E-2</v>
      </c>
      <c r="H84" s="29">
        <v>2.1700000000000001E-2</v>
      </c>
      <c r="I84" s="29">
        <v>1.8700000000000001E-2</v>
      </c>
      <c r="J84" s="29">
        <f>+J9/$J$7</f>
        <v>1.9853333381535328E-2</v>
      </c>
      <c r="K84" s="25"/>
      <c r="L84" s="25"/>
      <c r="M84" s="26"/>
      <c r="N84" s="26"/>
      <c r="O84" s="26"/>
      <c r="P84" s="26"/>
      <c r="Q84" s="26"/>
    </row>
    <row r="85" spans="1:17" s="27" customFormat="1" x14ac:dyDescent="0.25">
      <c r="A85" s="24" t="s">
        <v>3</v>
      </c>
      <c r="B85" s="24"/>
      <c r="C85" s="24"/>
      <c r="D85" s="29">
        <v>0.48039999999999999</v>
      </c>
      <c r="E85" s="29">
        <v>0.47610000000000002</v>
      </c>
      <c r="F85" s="29">
        <v>0.45100000000000001</v>
      </c>
      <c r="G85" s="29">
        <v>0.38929999999999998</v>
      </c>
      <c r="H85" s="29">
        <v>0.40179999999999999</v>
      </c>
      <c r="I85" s="29">
        <v>0.39050000000000001</v>
      </c>
      <c r="J85" s="29">
        <f>+J10/$J$7</f>
        <v>0.39091006789579563</v>
      </c>
      <c r="K85" s="25"/>
      <c r="L85" s="25"/>
      <c r="M85" s="26"/>
      <c r="N85" s="26"/>
      <c r="O85" s="26"/>
      <c r="P85" s="26"/>
      <c r="Q85" s="26"/>
    </row>
    <row r="86" spans="1:17" s="27" customFormat="1" x14ac:dyDescent="0.25">
      <c r="A86" s="24"/>
      <c r="B86" s="24"/>
      <c r="C86" s="24"/>
      <c r="D86" s="29"/>
      <c r="E86" s="29"/>
      <c r="F86" s="29"/>
      <c r="G86" s="29"/>
      <c r="H86" s="29"/>
      <c r="I86" s="29"/>
      <c r="J86" s="29"/>
      <c r="K86" s="25"/>
      <c r="L86" s="25"/>
      <c r="M86" s="26"/>
      <c r="N86" s="26"/>
      <c r="O86" s="26"/>
      <c r="P86" s="26"/>
      <c r="Q86" s="26"/>
    </row>
    <row r="87" spans="1:17" s="27" customFormat="1" x14ac:dyDescent="0.25">
      <c r="A87" s="24" t="s">
        <v>5</v>
      </c>
      <c r="B87" s="24"/>
      <c r="C87" s="24"/>
      <c r="D87" s="29"/>
      <c r="E87" s="29"/>
      <c r="F87" s="29"/>
      <c r="G87" s="29"/>
      <c r="H87" s="29"/>
      <c r="I87" s="29"/>
      <c r="J87" s="29"/>
      <c r="K87" s="25"/>
      <c r="L87" s="25"/>
      <c r="M87" s="26"/>
      <c r="N87" s="26"/>
      <c r="O87" s="26"/>
      <c r="P87" s="26"/>
      <c r="Q87" s="26"/>
    </row>
    <row r="88" spans="1:17" s="27" customFormat="1" x14ac:dyDescent="0.25">
      <c r="A88" s="24" t="s">
        <v>11</v>
      </c>
      <c r="B88" s="24"/>
      <c r="C88" s="24"/>
      <c r="D88" s="29">
        <v>0.20630000000000001</v>
      </c>
      <c r="E88" s="29">
        <v>0.1971</v>
      </c>
      <c r="F88" s="29">
        <v>0.2102</v>
      </c>
      <c r="G88" s="29">
        <v>0.183</v>
      </c>
      <c r="H88" s="29">
        <v>0.19520000000000001</v>
      </c>
      <c r="I88" s="29">
        <v>0.1993</v>
      </c>
      <c r="J88" s="29">
        <f>+J13/$J$7</f>
        <v>0.16998490839375288</v>
      </c>
      <c r="K88" s="25"/>
      <c r="L88" s="25"/>
      <c r="M88" s="26"/>
      <c r="N88" s="26"/>
      <c r="O88" s="26"/>
      <c r="P88" s="26"/>
      <c r="Q88" s="26"/>
    </row>
    <row r="89" spans="1:17" s="27" customFormat="1" x14ac:dyDescent="0.25">
      <c r="A89" s="24" t="s">
        <v>25</v>
      </c>
      <c r="B89" s="24"/>
      <c r="C89" s="24"/>
      <c r="D89" s="29"/>
      <c r="E89" s="29"/>
      <c r="F89" s="29"/>
      <c r="G89" s="29"/>
      <c r="H89" s="29">
        <v>6.6199999999999995E-2</v>
      </c>
      <c r="I89" s="29"/>
      <c r="J89" s="29"/>
      <c r="K89" s="25"/>
      <c r="L89" s="25"/>
      <c r="M89" s="26"/>
      <c r="N89" s="26"/>
      <c r="O89" s="26"/>
      <c r="P89" s="26"/>
      <c r="Q89" s="26"/>
    </row>
    <row r="90" spans="1:17" s="27" customFormat="1" x14ac:dyDescent="0.25">
      <c r="A90" s="24" t="s">
        <v>12</v>
      </c>
      <c r="B90" s="24"/>
      <c r="C90" s="24"/>
      <c r="D90" s="29">
        <v>5.6500000000000002E-2</v>
      </c>
      <c r="E90" s="29">
        <v>5.8200000000000002E-2</v>
      </c>
      <c r="F90" s="29">
        <v>2.76E-2</v>
      </c>
      <c r="G90" s="29">
        <v>2.9100000000000001E-2</v>
      </c>
      <c r="H90" s="29">
        <v>2.46E-2</v>
      </c>
      <c r="I90" s="29">
        <v>2.5000000000000001E-2</v>
      </c>
      <c r="J90" s="29">
        <f>+J15/$J$7</f>
        <v>2.4743480488544741E-2</v>
      </c>
      <c r="K90" s="25"/>
      <c r="L90" s="25"/>
      <c r="M90" s="26"/>
      <c r="N90" s="26"/>
      <c r="O90" s="26"/>
      <c r="P90" s="26"/>
      <c r="Q90" s="26"/>
    </row>
    <row r="91" spans="1:17" s="27" customFormat="1" x14ac:dyDescent="0.25">
      <c r="A91" s="24" t="s">
        <v>13</v>
      </c>
      <c r="B91" s="24"/>
      <c r="C91" s="24"/>
      <c r="D91" s="29">
        <v>2.4899999999999999E-2</v>
      </c>
      <c r="E91" s="29">
        <v>2.5899999999999999E-2</v>
      </c>
      <c r="F91" s="29">
        <v>2.29E-2</v>
      </c>
      <c r="G91" s="29">
        <v>1.8700000000000001E-2</v>
      </c>
      <c r="H91" s="29">
        <v>1.54E-2</v>
      </c>
      <c r="I91" s="29">
        <v>1.44E-2</v>
      </c>
      <c r="J91" s="29">
        <f>+J16/$J$7</f>
        <v>2.4361671395391866E-2</v>
      </c>
      <c r="K91" s="25"/>
      <c r="L91" s="25"/>
      <c r="M91" s="26"/>
      <c r="N91" s="26"/>
      <c r="O91" s="26"/>
      <c r="P91" s="26"/>
      <c r="Q91" s="26"/>
    </row>
    <row r="92" spans="1:17" s="27" customFormat="1" x14ac:dyDescent="0.25">
      <c r="A92" s="24" t="s">
        <v>14</v>
      </c>
      <c r="B92" s="24"/>
      <c r="C92" s="24"/>
      <c r="D92" s="29">
        <v>1.1900000000000001E-2</v>
      </c>
      <c r="E92" s="29">
        <v>1.38E-2</v>
      </c>
      <c r="F92" s="29">
        <v>1.4E-2</v>
      </c>
      <c r="G92" s="29">
        <v>7.7000000000000002E-3</v>
      </c>
      <c r="H92" s="29">
        <v>5.3E-3</v>
      </c>
      <c r="I92" s="29">
        <v>3.5999999999999999E-3</v>
      </c>
      <c r="J92" s="29">
        <f>+J17/$J$7</f>
        <v>0</v>
      </c>
      <c r="K92" s="25"/>
      <c r="L92" s="25"/>
      <c r="M92" s="26"/>
      <c r="N92" s="26"/>
      <c r="O92" s="26"/>
      <c r="P92" s="26"/>
      <c r="Q92" s="26"/>
    </row>
    <row r="93" spans="1:17" s="27" customFormat="1" x14ac:dyDescent="0.25">
      <c r="A93" s="24" t="s">
        <v>15</v>
      </c>
      <c r="B93" s="24"/>
      <c r="C93" s="24"/>
      <c r="D93" s="29">
        <v>1.2999999999999999E-3</v>
      </c>
      <c r="E93" s="29">
        <v>2.0000000000000001E-4</v>
      </c>
      <c r="F93" s="29"/>
      <c r="G93" s="29"/>
      <c r="H93" s="29"/>
      <c r="I93" s="29"/>
      <c r="J93" s="29"/>
      <c r="K93" s="25"/>
      <c r="L93" s="25"/>
      <c r="M93" s="26"/>
      <c r="N93" s="26"/>
      <c r="O93" s="26"/>
      <c r="P93" s="26"/>
      <c r="Q93" s="26"/>
    </row>
    <row r="94" spans="1:17" s="27" customFormat="1" x14ac:dyDescent="0.25">
      <c r="A94" s="24"/>
      <c r="B94" s="24"/>
      <c r="C94" s="24"/>
      <c r="D94" s="29">
        <v>0.3009</v>
      </c>
      <c r="E94" s="29">
        <v>0.29520000000000002</v>
      </c>
      <c r="F94" s="29">
        <v>0.27460000000000001</v>
      </c>
      <c r="G94" s="29">
        <v>0.2384</v>
      </c>
      <c r="H94" s="29">
        <v>0.30669999999999997</v>
      </c>
      <c r="I94" s="29">
        <v>0.2424</v>
      </c>
      <c r="J94" s="29">
        <f>+J19/$J$7</f>
        <v>0.21909006027768949</v>
      </c>
      <c r="K94" s="25"/>
      <c r="L94" s="25"/>
      <c r="M94" s="26"/>
      <c r="N94" s="26"/>
      <c r="O94" s="26"/>
      <c r="P94" s="26"/>
      <c r="Q94" s="26"/>
    </row>
    <row r="95" spans="1:17" s="27" customFormat="1" x14ac:dyDescent="0.25">
      <c r="A95" s="24" t="s">
        <v>6</v>
      </c>
      <c r="B95" s="24"/>
      <c r="C95" s="24"/>
      <c r="D95" s="29">
        <v>0.1794</v>
      </c>
      <c r="E95" s="29">
        <v>0.18090000000000001</v>
      </c>
      <c r="F95" s="29">
        <v>0.17630000000000001</v>
      </c>
      <c r="G95" s="29">
        <v>0.15090000000000001</v>
      </c>
      <c r="H95" s="29">
        <v>9.5100000000000004E-2</v>
      </c>
      <c r="I95" s="29">
        <v>0.14799999999999999</v>
      </c>
      <c r="J95" s="29">
        <f>+J20/$J$7</f>
        <v>0.17182000761810612</v>
      </c>
      <c r="K95" s="25"/>
      <c r="L95" s="25"/>
      <c r="M95" s="26"/>
      <c r="N95" s="26"/>
      <c r="O95" s="26"/>
      <c r="P95" s="26"/>
      <c r="Q95" s="26"/>
    </row>
    <row r="96" spans="1:17" s="27" customFormat="1" x14ac:dyDescent="0.25">
      <c r="A96" s="24"/>
      <c r="B96" s="24"/>
      <c r="C96" s="24"/>
      <c r="D96" s="29"/>
      <c r="E96" s="29"/>
      <c r="F96" s="29"/>
      <c r="G96" s="29"/>
      <c r="H96" s="29"/>
      <c r="I96" s="29"/>
      <c r="J96" s="29"/>
      <c r="K96" s="25"/>
      <c r="L96" s="25"/>
      <c r="M96" s="26"/>
      <c r="N96" s="26"/>
      <c r="O96" s="26"/>
      <c r="P96" s="26"/>
      <c r="Q96" s="26"/>
    </row>
    <row r="97" spans="1:17" s="27" customFormat="1" x14ac:dyDescent="0.25">
      <c r="A97" s="24" t="s">
        <v>7</v>
      </c>
      <c r="B97" s="24"/>
      <c r="C97" s="24"/>
      <c r="D97" s="29"/>
      <c r="E97" s="29"/>
      <c r="F97" s="29"/>
      <c r="G97" s="29"/>
      <c r="H97" s="29"/>
      <c r="I97" s="29"/>
      <c r="J97" s="29"/>
      <c r="K97" s="25"/>
      <c r="L97" s="25"/>
      <c r="M97" s="26"/>
      <c r="N97" s="26"/>
      <c r="O97" s="26"/>
      <c r="P97" s="26"/>
      <c r="Q97" s="26"/>
    </row>
    <row r="98" spans="1:17" s="27" customFormat="1" x14ac:dyDescent="0.25">
      <c r="A98" s="24" t="s">
        <v>8</v>
      </c>
      <c r="B98" s="24"/>
      <c r="C98" s="24"/>
      <c r="D98" s="29">
        <v>6.4799999999999996E-2</v>
      </c>
      <c r="E98" s="29">
        <v>6.0999999999999999E-2</v>
      </c>
      <c r="F98" s="29">
        <v>6.6400000000000001E-2</v>
      </c>
      <c r="G98" s="29">
        <v>4.3400000000000001E-2</v>
      </c>
      <c r="H98" s="29">
        <v>4.6800000000000001E-2</v>
      </c>
      <c r="I98" s="29">
        <v>3.7699999999999997E-2</v>
      </c>
      <c r="J98" s="29">
        <f>+J23/$J$7</f>
        <v>4.28436306487123E-2</v>
      </c>
      <c r="K98" s="25"/>
      <c r="L98" s="25"/>
      <c r="M98" s="26"/>
      <c r="N98" s="26"/>
      <c r="O98" s="26"/>
      <c r="P98" s="26"/>
      <c r="Q98" s="26"/>
    </row>
    <row r="99" spans="1:17" s="27" customFormat="1" x14ac:dyDescent="0.25">
      <c r="A99" s="24" t="s">
        <v>9</v>
      </c>
      <c r="B99" s="24"/>
      <c r="C99" s="24"/>
      <c r="D99" s="29">
        <v>-1.4E-3</v>
      </c>
      <c r="E99" s="29">
        <v>-3.5000000000000001E-3</v>
      </c>
      <c r="F99" s="29">
        <v>-3.7000000000000002E-3</v>
      </c>
      <c r="G99" s="29">
        <v>-2.3999999999999998E-3</v>
      </c>
      <c r="H99" s="29">
        <v>-1.7500000000000002E-2</v>
      </c>
      <c r="I99" s="29">
        <v>1.03E-2</v>
      </c>
      <c r="J99" s="29">
        <f>+J24/$J$7</f>
        <v>2.0657211188164919E-2</v>
      </c>
      <c r="K99" s="25"/>
      <c r="L99" s="25"/>
      <c r="M99" s="26"/>
      <c r="N99" s="26"/>
      <c r="O99" s="26"/>
      <c r="P99" s="26"/>
      <c r="Q99" s="26"/>
    </row>
    <row r="100" spans="1:17" s="27" customFormat="1" x14ac:dyDescent="0.25">
      <c r="A100" s="24"/>
      <c r="B100" s="24"/>
      <c r="C100" s="24"/>
      <c r="D100" s="29"/>
      <c r="E100" s="29"/>
      <c r="F100" s="29"/>
      <c r="G100" s="29"/>
      <c r="H100" s="29"/>
      <c r="I100" s="29"/>
      <c r="J100" s="29"/>
      <c r="K100" s="25"/>
      <c r="L100" s="25"/>
      <c r="M100" s="26"/>
      <c r="N100" s="26"/>
      <c r="O100" s="26"/>
      <c r="P100" s="26"/>
      <c r="Q100" s="26"/>
    </row>
    <row r="101" spans="1:17" s="27" customFormat="1" x14ac:dyDescent="0.25">
      <c r="A101" s="23" t="s">
        <v>10</v>
      </c>
      <c r="B101" s="24"/>
      <c r="C101" s="24"/>
      <c r="D101" s="29">
        <v>0.11609999999999999</v>
      </c>
      <c r="E101" s="29">
        <v>0.1235</v>
      </c>
      <c r="F101" s="29">
        <v>0.11360000000000001</v>
      </c>
      <c r="G101" s="29">
        <v>0.1099</v>
      </c>
      <c r="H101" s="29">
        <v>6.5799999999999997E-2</v>
      </c>
      <c r="I101" s="29">
        <v>0.1</v>
      </c>
      <c r="J101" s="29">
        <f>+J26/$J$7</f>
        <v>0.1083191657812289</v>
      </c>
      <c r="K101" s="25"/>
      <c r="L101" s="25"/>
      <c r="M101" s="26"/>
      <c r="N101" s="26"/>
      <c r="O101" s="26"/>
      <c r="P101" s="26"/>
      <c r="Q101" s="26"/>
    </row>
    <row r="102" spans="1:17" s="27" customForma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5"/>
      <c r="L102" s="25"/>
      <c r="M102" s="26"/>
      <c r="N102" s="26"/>
      <c r="O102" s="26"/>
      <c r="P102" s="26"/>
      <c r="Q102" s="26"/>
    </row>
    <row r="103" spans="1:17" s="27" customFormat="1" x14ac:dyDescent="0.25">
      <c r="A103" s="23" t="s">
        <v>18</v>
      </c>
      <c r="B103" s="24"/>
      <c r="C103" s="24"/>
      <c r="D103" s="29">
        <f>+D28/D$7</f>
        <v>0.27273036663587319</v>
      </c>
      <c r="E103" s="29">
        <f>+E28/E$7</f>
        <v>0.27882048768617607</v>
      </c>
      <c r="F103" s="29">
        <f>+F28/F$7</f>
        <v>0.26865147079727547</v>
      </c>
      <c r="G103" s="29">
        <f>+G28/G$7</f>
        <v>0.22762339951338795</v>
      </c>
      <c r="H103" s="29">
        <f>+H28/H$7</f>
        <v>0.16216638289741173</v>
      </c>
      <c r="I103" s="29">
        <f>+I28/I$7</f>
        <v>0.20986303535803177</v>
      </c>
      <c r="J103" s="29">
        <f>+J28/J$7</f>
        <v>0.24077849288357805</v>
      </c>
      <c r="K103" s="25"/>
      <c r="L103" s="25"/>
      <c r="M103" s="26"/>
      <c r="N103" s="26"/>
      <c r="O103" s="26"/>
      <c r="P103" s="26"/>
      <c r="Q103" s="26"/>
    </row>
    <row r="104" spans="1:17" s="27" customFormat="1" x14ac:dyDescent="0.25">
      <c r="A104" s="23" t="s">
        <v>23</v>
      </c>
      <c r="B104" s="24"/>
      <c r="C104" s="24"/>
      <c r="D104" s="26"/>
      <c r="E104" s="26"/>
      <c r="F104" s="26"/>
      <c r="G104" s="26"/>
      <c r="H104" s="26"/>
      <c r="I104" s="26"/>
      <c r="J104" s="24"/>
      <c r="K104" s="25"/>
      <c r="L104" s="25"/>
      <c r="M104" s="26"/>
      <c r="N104" s="26"/>
      <c r="O104" s="26"/>
      <c r="P104" s="26"/>
      <c r="Q104" s="26"/>
    </row>
    <row r="105" spans="1:17" s="27" customFormat="1" x14ac:dyDescent="0.25">
      <c r="A105" s="23" t="s">
        <v>24</v>
      </c>
      <c r="B105" s="24"/>
      <c r="C105" s="24"/>
      <c r="D105" s="29">
        <f>+D36/D$7</f>
        <v>0.21856764456607572</v>
      </c>
      <c r="E105" s="29">
        <f>+E36/E$7</f>
        <v>0.22407128745754362</v>
      </c>
      <c r="F105" s="29">
        <f>+F36/F$7</f>
        <v>0.21427950011168717</v>
      </c>
      <c r="G105" s="29">
        <f>+G36/G$7</f>
        <v>0.17564248290335074</v>
      </c>
      <c r="H105" s="29">
        <f>+H36/H$7</f>
        <v>0.17312907242182735</v>
      </c>
      <c r="I105" s="29">
        <f>+I36/I$7</f>
        <v>0.18149761339701281</v>
      </c>
      <c r="J105" s="24"/>
      <c r="K105" s="25"/>
      <c r="L105" s="25"/>
      <c r="M105" s="26"/>
      <c r="N105" s="26"/>
      <c r="O105" s="26"/>
      <c r="P105" s="26"/>
      <c r="Q105" s="26"/>
    </row>
    <row r="106" spans="1:17" s="44" customFormat="1" x14ac:dyDescent="0.25">
      <c r="A106" s="39"/>
      <c r="B106" s="40"/>
      <c r="C106" s="40"/>
      <c r="D106" s="41"/>
      <c r="E106" s="41"/>
      <c r="F106" s="41"/>
      <c r="G106" s="41"/>
      <c r="H106" s="41"/>
      <c r="I106" s="41"/>
      <c r="J106" s="40"/>
      <c r="K106" s="42"/>
      <c r="L106" s="42"/>
      <c r="M106" s="43"/>
      <c r="N106" s="43"/>
      <c r="O106" s="43"/>
      <c r="P106" s="43"/>
      <c r="Q106" s="43"/>
    </row>
    <row r="107" spans="1:17" s="44" customFormat="1" x14ac:dyDescent="0.25">
      <c r="A107" s="39" t="s">
        <v>82</v>
      </c>
      <c r="B107" s="40"/>
      <c r="C107" s="40"/>
      <c r="D107" s="41"/>
      <c r="E107" s="41"/>
      <c r="F107" s="41"/>
      <c r="G107" s="41"/>
      <c r="H107" s="41"/>
      <c r="I107" s="41"/>
      <c r="J107" s="40"/>
      <c r="K107" s="42"/>
      <c r="L107" s="42"/>
      <c r="M107" s="43"/>
      <c r="N107" s="43"/>
      <c r="O107" s="43"/>
      <c r="P107" s="43"/>
      <c r="Q107" s="43"/>
    </row>
    <row r="108" spans="1:17" s="44" customFormat="1" x14ac:dyDescent="0.25">
      <c r="A108" s="39"/>
      <c r="B108" s="40"/>
      <c r="C108" s="40"/>
      <c r="D108" s="41"/>
      <c r="E108" s="41"/>
      <c r="F108" s="41"/>
      <c r="G108" s="41"/>
      <c r="H108" s="41"/>
      <c r="I108" s="41"/>
      <c r="J108" s="40"/>
      <c r="K108" s="42"/>
      <c r="L108" s="42"/>
      <c r="M108" s="43"/>
      <c r="N108" s="43"/>
      <c r="O108" s="43"/>
      <c r="P108" s="43"/>
      <c r="Q108" s="43"/>
    </row>
    <row r="109" spans="1:17" s="44" customFormat="1" x14ac:dyDescent="0.25">
      <c r="A109" s="40" t="s">
        <v>83</v>
      </c>
      <c r="B109" s="40"/>
      <c r="C109" s="40"/>
      <c r="D109" s="41">
        <f>D26/D75</f>
        <v>9.8185439594853791E-2</v>
      </c>
      <c r="E109" s="41">
        <f>E26/E75</f>
        <v>9.6466481400210996E-2</v>
      </c>
      <c r="F109" s="41">
        <f>F26/F75</f>
        <v>8.2617860986751612E-2</v>
      </c>
      <c r="G109" s="41">
        <f>G26/G75</f>
        <v>7.5706452659432363E-2</v>
      </c>
      <c r="H109" s="41">
        <f>H26/H75</f>
        <v>4.3410399741805807E-2</v>
      </c>
      <c r="I109" s="41">
        <f>I26/I75</f>
        <v>5.9415892801138577E-2</v>
      </c>
      <c r="J109" s="41">
        <f>J26/J75</f>
        <v>3.2632349761954067E-2</v>
      </c>
      <c r="K109" s="41" t="e">
        <f>K26/K75</f>
        <v>#DIV/0!</v>
      </c>
      <c r="L109" s="41"/>
      <c r="M109" s="41">
        <f>M26/M75</f>
        <v>7.9300544720223354E-2</v>
      </c>
      <c r="N109" s="41">
        <f>N26/N75</f>
        <v>8.7080193602672079E-2</v>
      </c>
      <c r="O109" s="41">
        <f>O26/O75</f>
        <v>9.5320950905216598E-2</v>
      </c>
      <c r="P109" s="41">
        <f>P26/P75</f>
        <v>0.10406344091743115</v>
      </c>
      <c r="Q109" s="43"/>
    </row>
    <row r="110" spans="1:17" s="44" customFormat="1" x14ac:dyDescent="0.25">
      <c r="A110" s="40" t="s">
        <v>90</v>
      </c>
      <c r="B110" s="40"/>
      <c r="C110" s="40"/>
      <c r="D110" s="41">
        <f>D26/D61</f>
        <v>5.9044393762906947E-2</v>
      </c>
      <c r="E110" s="41">
        <f>E26/E61</f>
        <v>6.2065106425252585E-2</v>
      </c>
      <c r="F110" s="41">
        <f>F26/F61</f>
        <v>5.6030388662865686E-2</v>
      </c>
      <c r="G110" s="41">
        <f>G26/G61</f>
        <v>5.2386233225652029E-2</v>
      </c>
      <c r="H110" s="41">
        <f>H26/H61</f>
        <v>3.0769490958946225E-2</v>
      </c>
      <c r="I110" s="41">
        <f>I26/I61</f>
        <v>4.4129310886611116E-2</v>
      </c>
      <c r="J110" s="41">
        <f>J26/J61</f>
        <v>2.6443141147985339E-2</v>
      </c>
      <c r="K110" s="41" t="e">
        <f>K26/K61</f>
        <v>#DIV/0!</v>
      </c>
      <c r="L110" s="41"/>
      <c r="M110" s="41">
        <f>M26/M61</f>
        <v>9.3025934280141637E-2</v>
      </c>
      <c r="N110" s="41">
        <f>N26/N61</f>
        <v>9.9049172370495112E-2</v>
      </c>
      <c r="O110" s="41">
        <f>O26/O61</f>
        <v>0.10500960742474288</v>
      </c>
      <c r="P110" s="41">
        <f>P26/P61</f>
        <v>0.11090518141746049</v>
      </c>
      <c r="Q110" s="43"/>
    </row>
    <row r="111" spans="1:17" s="44" customFormat="1" x14ac:dyDescent="0.25">
      <c r="A111" s="40" t="s">
        <v>91</v>
      </c>
      <c r="B111" s="40"/>
      <c r="C111" s="40"/>
      <c r="D111" s="45">
        <f>D61/D75</f>
        <v>1.6629087596210728</v>
      </c>
      <c r="E111" s="45">
        <f>E61/E75</f>
        <v>1.5542788364729436</v>
      </c>
      <c r="F111" s="45">
        <f>F61/F75</f>
        <v>1.4745187916482696</v>
      </c>
      <c r="G111" s="45">
        <f>G61/G75</f>
        <v>1.4451593099532321</v>
      </c>
      <c r="H111" s="45">
        <f>H61/H75</f>
        <v>1.4108260614296657</v>
      </c>
      <c r="I111" s="45">
        <f>I61/I75</f>
        <v>1.3464042743338063</v>
      </c>
      <c r="J111" s="45">
        <f t="shared" ref="J111:P111" si="28">J61/J75</f>
        <v>1.2340572392414233</v>
      </c>
      <c r="K111" s="45" t="e">
        <f t="shared" si="28"/>
        <v>#DIV/0!</v>
      </c>
      <c r="L111" s="45"/>
      <c r="M111" s="45">
        <f t="shared" si="28"/>
        <v>0.85245631053180126</v>
      </c>
      <c r="N111" s="45">
        <f t="shared" si="28"/>
        <v>0.87916124404298035</v>
      </c>
      <c r="O111" s="45">
        <f t="shared" si="28"/>
        <v>0.90773552289994175</v>
      </c>
      <c r="P111" s="45">
        <f t="shared" si="28"/>
        <v>0.93831000127689079</v>
      </c>
      <c r="Q111" s="43"/>
    </row>
    <row r="112" spans="1:17" s="44" customFormat="1" x14ac:dyDescent="0.25">
      <c r="A112" s="40"/>
      <c r="B112" s="40"/>
      <c r="C112" s="40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3"/>
    </row>
    <row r="113" spans="1:17" s="44" customFormat="1" x14ac:dyDescent="0.25">
      <c r="A113" s="40" t="s">
        <v>94</v>
      </c>
      <c r="B113" s="40"/>
      <c r="C113" s="40"/>
      <c r="D113" s="46">
        <f>D16*(1-0.288)</f>
        <v>393805.06399999995</v>
      </c>
      <c r="E113" s="46">
        <f>E16*(1-0.288)</f>
        <v>424105.64799999999</v>
      </c>
      <c r="F113" s="46">
        <f>F16*(1-0.288)</f>
        <v>381028.22399999999</v>
      </c>
      <c r="G113" s="46">
        <f>G16*(1-0.288)</f>
        <v>320186.39999999997</v>
      </c>
      <c r="H113" s="46">
        <f>H16*(1-0.288)</f>
        <v>265267.70399999997</v>
      </c>
      <c r="I113" s="46">
        <f>I16*(1-0.288)</f>
        <v>238826.15999999997</v>
      </c>
      <c r="J113" s="46">
        <f>J16*(1-0.288)</f>
        <v>211112.272</v>
      </c>
      <c r="K113" s="46">
        <f>K16*(1-0.288)</f>
        <v>0</v>
      </c>
      <c r="L113" s="46"/>
      <c r="M113" s="46">
        <f>M16*(1-0.288)</f>
        <v>191884.90708800001</v>
      </c>
      <c r="N113" s="46">
        <f>N16*(1-0.288)</f>
        <v>172696.4163792</v>
      </c>
      <c r="O113" s="46">
        <f>O16*(1-0.288)</f>
        <v>155426.77474128004</v>
      </c>
      <c r="P113" s="46">
        <f>P16*(1-0.288)</f>
        <v>139884.09726715201</v>
      </c>
      <c r="Q113" s="43"/>
    </row>
    <row r="114" spans="1:17" s="44" customFormat="1" x14ac:dyDescent="0.25">
      <c r="A114" s="40" t="s">
        <v>92</v>
      </c>
      <c r="B114" s="40"/>
      <c r="C114" s="40"/>
      <c r="D114" s="45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45">
        <v>1</v>
      </c>
      <c r="K114" s="45">
        <v>2</v>
      </c>
      <c r="L114" s="45"/>
      <c r="M114" s="45"/>
      <c r="N114" s="45"/>
      <c r="O114" s="45"/>
      <c r="P114" s="45"/>
      <c r="Q114" s="43" t="s">
        <v>95</v>
      </c>
    </row>
    <row r="115" spans="1:17" s="44" customFormat="1" x14ac:dyDescent="0.25">
      <c r="A115" s="40" t="s">
        <v>93</v>
      </c>
      <c r="B115" s="40"/>
      <c r="C115" s="40"/>
      <c r="D115" s="47">
        <f>D26+D113</f>
        <v>2968602.0639999998</v>
      </c>
      <c r="E115" s="47">
        <f>E26+E113</f>
        <v>3259230.648</v>
      </c>
      <c r="F115" s="47">
        <f>F26+F113</f>
        <v>3038287.2239999999</v>
      </c>
      <c r="G115" s="47">
        <f>G26+G113</f>
        <v>2964115.4</v>
      </c>
      <c r="H115" s="47">
        <f>H26+H113</f>
        <v>1855381.7039999999</v>
      </c>
      <c r="I115" s="47">
        <f>I26+I113</f>
        <v>2560908.16</v>
      </c>
      <c r="J115" s="47">
        <f>J26+J113</f>
        <v>1529465.2719999999</v>
      </c>
      <c r="K115" s="47">
        <f>K26+K113</f>
        <v>0</v>
      </c>
      <c r="L115" s="47"/>
      <c r="M115" s="47">
        <f>M26+M113</f>
        <v>3291095.5526528009</v>
      </c>
      <c r="N115" s="47">
        <f>N26+N113</f>
        <v>3575950.0003664983</v>
      </c>
      <c r="O115" s="47">
        <f>O26+O113</f>
        <v>3880744.2594201537</v>
      </c>
      <c r="P115" s="47">
        <f>P26+P113</f>
        <v>4206874.1166075636</v>
      </c>
      <c r="Q115" s="43"/>
    </row>
    <row r="116" spans="1:17" s="44" customFormat="1" ht="14.25" customHeight="1" x14ac:dyDescent="0.25">
      <c r="A116" s="40"/>
      <c r="B116" s="40"/>
      <c r="C116" s="40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3"/>
    </row>
    <row r="117" spans="1:17" s="44" customFormat="1" x14ac:dyDescent="0.25">
      <c r="A117" s="40" t="s">
        <v>73</v>
      </c>
      <c r="B117" s="40"/>
      <c r="C117" s="40"/>
      <c r="D117" s="43">
        <f>D56-D70</f>
        <v>13870146</v>
      </c>
      <c r="E117" s="43">
        <f>E56-E70</f>
        <v>16297240</v>
      </c>
      <c r="F117" s="43">
        <f>F56-F70</f>
        <v>18941246</v>
      </c>
      <c r="G117" s="43">
        <f>G56-G70</f>
        <v>21022236</v>
      </c>
      <c r="H117" s="43">
        <f>H56-H70</f>
        <v>22798323</v>
      </c>
      <c r="I117" s="43">
        <f>I56-I70</f>
        <v>24166840</v>
      </c>
      <c r="J117" s="43">
        <f>J56-J70</f>
        <v>24865143</v>
      </c>
      <c r="K117" s="43">
        <f>K56-K70</f>
        <v>0</v>
      </c>
      <c r="L117" s="43"/>
      <c r="M117" s="43">
        <f>M56-M70</f>
        <v>10250899.483999999</v>
      </c>
      <c r="N117" s="43">
        <f>N56-N70</f>
        <v>11577307.029160004</v>
      </c>
      <c r="O117" s="43">
        <f>O56-O70</f>
        <v>12960325.516353201</v>
      </c>
      <c r="P117" s="43">
        <f>P56-P70</f>
        <v>14406122.292684726</v>
      </c>
      <c r="Q117" s="43"/>
    </row>
    <row r="118" spans="1:17" s="44" customFormat="1" x14ac:dyDescent="0.25">
      <c r="A118" s="40" t="s">
        <v>74</v>
      </c>
      <c r="B118" s="40"/>
      <c r="C118" s="40"/>
      <c r="D118" s="48">
        <f>D117/D7</f>
        <v>0.62522199203997553</v>
      </c>
      <c r="E118" s="48">
        <f>E117/E7</f>
        <v>0.70994544561042838</v>
      </c>
      <c r="F118" s="48">
        <f>F117/F7</f>
        <v>0.80975861674623706</v>
      </c>
      <c r="G118" s="48">
        <f>G117/G7</f>
        <v>0.87422645737532656</v>
      </c>
      <c r="H118" s="48">
        <f>H117/H7</f>
        <v>0.94313916930382402</v>
      </c>
      <c r="I118" s="48">
        <f>I117/I7</f>
        <v>1.0406064398407771</v>
      </c>
      <c r="J118" s="48">
        <f>J117/J7</f>
        <v>2.0429820744451321</v>
      </c>
      <c r="K118" s="48" t="e">
        <f>K117/K7</f>
        <v>#DIV/0!</v>
      </c>
      <c r="L118" s="48"/>
      <c r="M118" s="48">
        <f>M117/M7</f>
        <v>0.41251983919554197</v>
      </c>
      <c r="N118" s="48">
        <f>N117/N7</f>
        <v>0.43541826000503736</v>
      </c>
      <c r="O118" s="48">
        <f>O117/O7</f>
        <v>0.4555449315199806</v>
      </c>
      <c r="P118" s="48">
        <f>P117/P7</f>
        <v>0.47323693057607152</v>
      </c>
      <c r="Q118" s="43"/>
    </row>
    <row r="119" spans="1:17" s="44" customFormat="1" x14ac:dyDescent="0.25">
      <c r="A119" s="40" t="s">
        <v>76</v>
      </c>
      <c r="B119" s="40"/>
      <c r="C119" s="40"/>
      <c r="D119" s="43">
        <f>(D49+D50+D51+D52)-(D66)</f>
        <v>19563524</v>
      </c>
      <c r="E119" s="43">
        <f>(E49+E50+E51+E52)-(E66)</f>
        <v>22576895</v>
      </c>
      <c r="F119" s="43">
        <f>(F49+F50+F51+F52)-(F66)</f>
        <v>25034407</v>
      </c>
      <c r="G119" s="43">
        <f>(G49+G50+G51+G52)-(G66)</f>
        <v>26971370</v>
      </c>
      <c r="H119" s="43">
        <f>(H49+H50+H51+H52)-(H66)</f>
        <v>28900585</v>
      </c>
      <c r="I119" s="43">
        <f>(I49+I50+I51+I52)-(I66)</f>
        <v>30279915</v>
      </c>
      <c r="J119" s="43">
        <f>(J49+J50+J51+J52)-(J66)</f>
        <v>30272310</v>
      </c>
      <c r="K119" s="43">
        <f>(K49+K50+K51+K52)-(K66)</f>
        <v>0</v>
      </c>
      <c r="L119" s="43"/>
      <c r="M119" s="43">
        <f>(M49+M50+M51+M52)-(M66)</f>
        <v>14607398.168</v>
      </c>
      <c r="N119" s="43">
        <f>(N49+N50+N51+N52)-(N66)</f>
        <v>15651075.919760004</v>
      </c>
      <c r="O119" s="43">
        <f>(O49+O50+O51+O52)-(O66)</f>
        <v>16767811.1141432</v>
      </c>
      <c r="P119" s="43">
        <f>(P49+P50+P51+P52)-(P66)</f>
        <v>17962717.772133227</v>
      </c>
      <c r="Q119" s="43"/>
    </row>
    <row r="120" spans="1:17" s="44" customFormat="1" x14ac:dyDescent="0.25">
      <c r="A120" s="40" t="s">
        <v>75</v>
      </c>
      <c r="B120" s="40"/>
      <c r="C120" s="40"/>
      <c r="D120" s="48">
        <f>D119/D7</f>
        <v>0.8818613334424793</v>
      </c>
      <c r="E120" s="48">
        <f>E119/E7</f>
        <v>0.98350173288697063</v>
      </c>
      <c r="F120" s="48">
        <f>F119/F7</f>
        <v>1.070247795914921</v>
      </c>
      <c r="G120" s="48">
        <f>G119/G7</f>
        <v>1.1216259414868694</v>
      </c>
      <c r="H120" s="48">
        <f>H119/H7</f>
        <v>1.1955824000429573</v>
      </c>
      <c r="I120" s="48">
        <f>I119/I7</f>
        <v>1.3038309744605148</v>
      </c>
      <c r="J120" s="48">
        <f>J119/J7</f>
        <v>2.4872483814811006</v>
      </c>
      <c r="K120" s="48" t="e">
        <f>K119/K7</f>
        <v>#DIV/0!</v>
      </c>
      <c r="L120" s="48"/>
      <c r="M120" s="48">
        <f>M119/M7</f>
        <v>0.58783539461429513</v>
      </c>
      <c r="N120" s="48">
        <f>N119/N7</f>
        <v>0.58863120991990214</v>
      </c>
      <c r="O120" s="48">
        <f>O119/O7</f>
        <v>0.58937496254196442</v>
      </c>
      <c r="P120" s="48">
        <f>P119/P7</f>
        <v>0.59007005845043414</v>
      </c>
      <c r="Q120" s="43"/>
    </row>
    <row r="121" spans="1:17" s="44" customFormat="1" x14ac:dyDescent="0.25">
      <c r="A121" s="40"/>
      <c r="B121" s="40"/>
      <c r="C121" s="40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3"/>
    </row>
    <row r="122" spans="1:17" s="44" customFormat="1" x14ac:dyDescent="0.25">
      <c r="A122" s="40" t="s">
        <v>96</v>
      </c>
      <c r="B122" s="40"/>
      <c r="C122" s="40"/>
      <c r="D122" s="45">
        <f>D7/D50</f>
        <v>63.808835415294432</v>
      </c>
      <c r="E122" s="45">
        <f t="shared" ref="E122:I122" si="29">E7/E50</f>
        <v>57.91068802236142</v>
      </c>
      <c r="F122" s="45">
        <f t="shared" si="29"/>
        <v>81.788929876396438</v>
      </c>
      <c r="G122" s="45">
        <f t="shared" si="29"/>
        <v>42.879227888730384</v>
      </c>
      <c r="H122" s="45">
        <f t="shared" si="29"/>
        <v>40.948514539522499</v>
      </c>
      <c r="I122" s="45">
        <f t="shared" si="29"/>
        <v>37.652264845646137</v>
      </c>
      <c r="J122" s="45">
        <f>J7/J50</f>
        <v>7.3707642797534483</v>
      </c>
      <c r="K122" s="45" t="e">
        <f>K7/K50</f>
        <v>#DIV/0!</v>
      </c>
      <c r="L122" s="45"/>
      <c r="M122" s="45">
        <f>M7/M50</f>
        <v>50</v>
      </c>
      <c r="N122" s="45">
        <f>N7/N50</f>
        <v>50</v>
      </c>
      <c r="O122" s="45">
        <f>O7/O50</f>
        <v>50</v>
      </c>
      <c r="P122" s="45">
        <f>P7/P50</f>
        <v>50</v>
      </c>
      <c r="Q122" s="43"/>
    </row>
    <row r="123" spans="1:17" s="44" customFormat="1" x14ac:dyDescent="0.25">
      <c r="A123" s="40" t="s">
        <v>97</v>
      </c>
      <c r="B123" s="40"/>
      <c r="C123" s="40"/>
      <c r="D123" s="45">
        <f>D8/D51</f>
        <v>0.56214717988474305</v>
      </c>
      <c r="E123" s="45">
        <f t="shared" ref="E123:I123" si="30">E8/E51</f>
        <v>0.52836306758087348</v>
      </c>
      <c r="F123" s="45">
        <f t="shared" si="30"/>
        <v>0.48549878836793392</v>
      </c>
      <c r="G123" s="45">
        <f t="shared" si="30"/>
        <v>0.50894836442475855</v>
      </c>
      <c r="H123" s="45">
        <f t="shared" si="30"/>
        <v>0.4664001763393244</v>
      </c>
      <c r="I123" s="45">
        <f t="shared" si="30"/>
        <v>0.45789190480408037</v>
      </c>
      <c r="J123" s="45">
        <f>J8/J51</f>
        <v>0.24059120963926689</v>
      </c>
      <c r="K123" s="45" t="e">
        <f>K8/K51</f>
        <v>#DIV/0!</v>
      </c>
      <c r="L123" s="45"/>
      <c r="M123" s="45">
        <f>M8/M51</f>
        <v>1</v>
      </c>
      <c r="N123" s="45">
        <f>N8/N51</f>
        <v>1</v>
      </c>
      <c r="O123" s="45">
        <f>O8/O51</f>
        <v>1</v>
      </c>
      <c r="P123" s="45">
        <f>P8/P51</f>
        <v>1</v>
      </c>
      <c r="Q123" s="43"/>
    </row>
    <row r="124" spans="1:17" s="44" customFormat="1" x14ac:dyDescent="0.25">
      <c r="A124" s="40" t="s">
        <v>98</v>
      </c>
      <c r="B124" s="40"/>
      <c r="C124" s="40"/>
      <c r="D124" s="45">
        <f>D8/D66</f>
        <v>8.9371056601959662</v>
      </c>
      <c r="E124" s="45">
        <f>E8/E66</f>
        <v>15.211706817276252</v>
      </c>
      <c r="F124" s="45">
        <f>F8/F66</f>
        <v>17.303050045847208</v>
      </c>
      <c r="G124" s="45">
        <f>G8/G66</f>
        <v>9.862676779169302</v>
      </c>
      <c r="H124" s="45">
        <f>H8/H66</f>
        <v>8.8846046688067215</v>
      </c>
      <c r="I124" s="45">
        <f>I8/I66</f>
        <v>11.754322766570604</v>
      </c>
      <c r="J124" s="45">
        <f>J8/J66</f>
        <v>4.9748544989143779</v>
      </c>
      <c r="K124" s="45" t="e">
        <f>K8/K66</f>
        <v>#DIV/0!</v>
      </c>
      <c r="L124" s="45"/>
      <c r="M124" s="45">
        <f>M8/M66</f>
        <v>12.34694935903806</v>
      </c>
      <c r="N124" s="45">
        <f>N8/N66</f>
        <v>13.211235814170726</v>
      </c>
      <c r="O124" s="45">
        <f>O8/O66</f>
        <v>14.136022321162676</v>
      </c>
      <c r="P124" s="45">
        <f>P8/P66</f>
        <v>15.125543883644065</v>
      </c>
      <c r="Q124" s="43"/>
    </row>
    <row r="125" spans="1:17" s="44" customFormat="1" x14ac:dyDescent="0.25">
      <c r="A125" s="39"/>
      <c r="B125" s="40"/>
      <c r="C125" s="40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3"/>
    </row>
    <row r="126" spans="1:17" s="44" customFormat="1" x14ac:dyDescent="0.25">
      <c r="A126" s="40" t="s">
        <v>99</v>
      </c>
      <c r="B126" s="40"/>
      <c r="C126" s="40"/>
      <c r="D126" s="45">
        <f>D56/D70</f>
        <v>2.8118705138878348</v>
      </c>
      <c r="E126" s="45">
        <f t="shared" ref="E126:I126" si="31">E56/E70</f>
        <v>3.2136657925960033</v>
      </c>
      <c r="F126" s="45">
        <f t="shared" si="31"/>
        <v>3.6710439386027467</v>
      </c>
      <c r="G126" s="45">
        <f t="shared" si="31"/>
        <v>3.5942878918877028</v>
      </c>
      <c r="H126" s="45">
        <f t="shared" si="31"/>
        <v>3.7940134838224524</v>
      </c>
      <c r="I126" s="45">
        <f t="shared" si="31"/>
        <v>3.9775032963805237</v>
      </c>
      <c r="J126" s="45">
        <f>J56/J70</f>
        <v>4.000773329777239</v>
      </c>
      <c r="K126" s="45" t="e">
        <f>K56/K70</f>
        <v>#DIV/0!</v>
      </c>
      <c r="L126" s="45"/>
      <c r="M126" s="45">
        <f>M56/M70</f>
        <v>2.6118015644469512</v>
      </c>
      <c r="N126" s="45">
        <f>N56/N70</f>
        <v>2.9050484728048356</v>
      </c>
      <c r="O126" s="45">
        <f>O56/O70</f>
        <v>3.2303517436700266</v>
      </c>
      <c r="P126" s="45">
        <f>P56/P70</f>
        <v>3.5910298979279003</v>
      </c>
      <c r="Q126" s="43"/>
    </row>
    <row r="127" spans="1:17" s="44" customFormat="1" x14ac:dyDescent="0.25">
      <c r="A127" s="39"/>
      <c r="B127" s="40"/>
      <c r="C127" s="40"/>
      <c r="D127" s="45"/>
      <c r="E127" s="45"/>
      <c r="F127" s="45"/>
      <c r="G127" s="45"/>
      <c r="H127" s="45"/>
      <c r="I127" s="45"/>
      <c r="J127" s="45"/>
      <c r="K127" s="45"/>
      <c r="L127" s="42"/>
      <c r="M127" s="43"/>
      <c r="N127" s="43"/>
      <c r="O127" s="43"/>
      <c r="P127" s="43"/>
      <c r="Q127" s="43"/>
    </row>
    <row r="128" spans="1:17" s="44" customFormat="1" x14ac:dyDescent="0.25">
      <c r="A128" s="39"/>
      <c r="B128" s="40"/>
      <c r="C128" s="40"/>
      <c r="D128" s="45"/>
      <c r="E128" s="45"/>
      <c r="F128" s="45"/>
      <c r="G128" s="45"/>
      <c r="H128" s="45"/>
      <c r="I128" s="45"/>
      <c r="J128" s="45"/>
      <c r="K128" s="45"/>
      <c r="L128" s="42"/>
      <c r="M128" s="43"/>
      <c r="N128" s="43"/>
      <c r="O128" s="43"/>
      <c r="P128" s="43"/>
      <c r="Q128" s="43"/>
    </row>
    <row r="129" spans="1:17" s="44" customFormat="1" x14ac:dyDescent="0.25">
      <c r="A129" s="39"/>
      <c r="B129" s="40"/>
      <c r="C129" s="40"/>
      <c r="D129" s="45"/>
      <c r="E129" s="45"/>
      <c r="F129" s="45"/>
      <c r="G129" s="45"/>
      <c r="H129" s="45"/>
      <c r="I129" s="45"/>
      <c r="J129" s="45"/>
      <c r="K129" s="45"/>
      <c r="L129" s="42"/>
      <c r="M129" s="43"/>
      <c r="N129" s="43"/>
      <c r="O129" s="43"/>
      <c r="P129" s="43"/>
      <c r="Q129" s="43"/>
    </row>
    <row r="130" spans="1:17" s="44" customFormat="1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2"/>
      <c r="L130" s="42"/>
      <c r="M130" s="42"/>
      <c r="N130" s="42"/>
      <c r="O130" s="42"/>
      <c r="P130" s="42"/>
      <c r="Q130" s="42"/>
    </row>
    <row r="131" spans="1:17" s="44" customFormat="1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2"/>
      <c r="L131" s="42"/>
      <c r="M131" s="42"/>
      <c r="N131" s="42"/>
      <c r="O131" s="42"/>
      <c r="P131" s="42"/>
      <c r="Q131" s="42"/>
    </row>
    <row r="132" spans="1:17" s="32" customFormat="1" x14ac:dyDescent="0.25">
      <c r="A132" s="38" t="s">
        <v>63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1"/>
      <c r="L132" s="31"/>
      <c r="M132" s="31"/>
      <c r="N132" s="31"/>
      <c r="O132" s="31"/>
      <c r="P132" s="31"/>
      <c r="Q132" s="31"/>
    </row>
    <row r="133" spans="1:17" s="32" customFormat="1" x14ac:dyDescent="0.25">
      <c r="A133" s="30" t="s">
        <v>84</v>
      </c>
      <c r="B133" s="30"/>
      <c r="C133" s="30"/>
      <c r="D133" s="33">
        <f>D26</f>
        <v>2574797</v>
      </c>
      <c r="E133" s="33">
        <f>E26</f>
        <v>2835125</v>
      </c>
      <c r="F133" s="33">
        <f>F26</f>
        <v>2657259</v>
      </c>
      <c r="G133" s="33">
        <f>G26</f>
        <v>2643929</v>
      </c>
      <c r="H133" s="33">
        <f>H26</f>
        <v>1590114</v>
      </c>
      <c r="I133" s="33">
        <f>I26</f>
        <v>2322082</v>
      </c>
      <c r="J133" s="33">
        <f>J26</f>
        <v>1318353</v>
      </c>
      <c r="K133" s="33">
        <f>K26</f>
        <v>0</v>
      </c>
      <c r="L133" s="33"/>
      <c r="M133" s="33">
        <f>M26</f>
        <v>3099210.6455648011</v>
      </c>
      <c r="N133" s="33">
        <f>N26</f>
        <v>3403253.5839872984</v>
      </c>
      <c r="O133" s="33">
        <f>O26</f>
        <v>3725317.4846788738</v>
      </c>
      <c r="P133" s="33">
        <f>P26</f>
        <v>4066990.0193404113</v>
      </c>
      <c r="Q133" s="31"/>
    </row>
    <row r="134" spans="1:17" s="32" customFormat="1" x14ac:dyDescent="0.25">
      <c r="A134" s="30" t="s">
        <v>85</v>
      </c>
      <c r="B134" s="30"/>
      <c r="C134" s="30"/>
      <c r="D134" s="33"/>
      <c r="E134" s="33">
        <f>E117-D117</f>
        <v>2427094</v>
      </c>
      <c r="F134" s="33">
        <f t="shared" ref="F134:P134" si="32">F117-E117</f>
        <v>2644006</v>
      </c>
      <c r="G134" s="33">
        <f t="shared" si="32"/>
        <v>2080990</v>
      </c>
      <c r="H134" s="33">
        <f t="shared" si="32"/>
        <v>1776087</v>
      </c>
      <c r="I134" s="33">
        <f t="shared" si="32"/>
        <v>1368517</v>
      </c>
      <c r="J134" s="33">
        <f t="shared" si="32"/>
        <v>698303</v>
      </c>
      <c r="K134" s="33">
        <f t="shared" si="32"/>
        <v>-24865143</v>
      </c>
      <c r="L134" s="33"/>
      <c r="M134" s="33">
        <f>M117-I117</f>
        <v>-13915940.516000001</v>
      </c>
      <c r="N134" s="33">
        <f t="shared" si="32"/>
        <v>1326407.5451600049</v>
      </c>
      <c r="O134" s="33">
        <f t="shared" si="32"/>
        <v>1383018.487193197</v>
      </c>
      <c r="P134" s="33">
        <f t="shared" si="32"/>
        <v>1445796.7763315253</v>
      </c>
      <c r="Q134" s="31"/>
    </row>
    <row r="135" spans="1:17" s="32" customFormat="1" x14ac:dyDescent="0.25">
      <c r="A135" s="30" t="s">
        <v>108</v>
      </c>
      <c r="B135" s="30"/>
      <c r="C135" s="30"/>
      <c r="D135" s="33"/>
      <c r="E135" s="33">
        <f>E60-D60</f>
        <v>-62007</v>
      </c>
      <c r="F135" s="33">
        <f t="shared" ref="F135:P135" si="33">F60-E60</f>
        <v>-627764</v>
      </c>
      <c r="G135" s="33">
        <f t="shared" si="33"/>
        <v>-48339</v>
      </c>
      <c r="H135" s="33">
        <f t="shared" si="33"/>
        <v>-624165</v>
      </c>
      <c r="I135" s="33">
        <f t="shared" si="33"/>
        <v>-383612</v>
      </c>
      <c r="J135" s="33">
        <f t="shared" si="33"/>
        <v>331388</v>
      </c>
      <c r="K135" s="33">
        <f t="shared" si="33"/>
        <v>-20668017</v>
      </c>
      <c r="L135" s="33"/>
      <c r="M135" s="33">
        <f>M60-I60</f>
        <v>331388</v>
      </c>
      <c r="N135" s="33">
        <f t="shared" si="33"/>
        <v>0</v>
      </c>
      <c r="O135" s="33">
        <f t="shared" si="33"/>
        <v>0</v>
      </c>
      <c r="P135" s="33">
        <f t="shared" si="33"/>
        <v>0</v>
      </c>
      <c r="Q135" s="31"/>
    </row>
    <row r="136" spans="1:17" s="32" customFormat="1" x14ac:dyDescent="0.25">
      <c r="A136" s="30" t="s">
        <v>86</v>
      </c>
      <c r="B136" s="30"/>
      <c r="C136" s="30"/>
      <c r="D136" s="33"/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/>
      <c r="M136" s="33">
        <v>0</v>
      </c>
      <c r="N136" s="33">
        <v>0</v>
      </c>
      <c r="O136" s="33">
        <v>0</v>
      </c>
      <c r="P136" s="33">
        <v>0</v>
      </c>
      <c r="Q136" s="31" t="s">
        <v>110</v>
      </c>
    </row>
    <row r="137" spans="1:17" s="32" customFormat="1" x14ac:dyDescent="0.25">
      <c r="A137" s="30" t="s">
        <v>87</v>
      </c>
      <c r="B137" s="30"/>
      <c r="C137" s="30"/>
      <c r="D137" s="33"/>
      <c r="E137" s="33">
        <f>E74-D74</f>
        <v>-1093886</v>
      </c>
      <c r="F137" s="33">
        <f t="shared" ref="F137:P137" si="34">F74-E74</f>
        <v>-1028045</v>
      </c>
      <c r="G137" s="33">
        <f t="shared" si="34"/>
        <v>284423</v>
      </c>
      <c r="H137" s="33">
        <f t="shared" si="34"/>
        <v>-498016</v>
      </c>
      <c r="I137" s="33">
        <f t="shared" si="34"/>
        <v>-1510360</v>
      </c>
      <c r="J137" s="33">
        <f t="shared" si="34"/>
        <v>-118895</v>
      </c>
      <c r="K137" s="33">
        <f t="shared" si="34"/>
        <v>-13419219</v>
      </c>
      <c r="L137" s="33"/>
      <c r="M137" s="33">
        <f t="shared" si="34"/>
        <v>11087449.190384639</v>
      </c>
      <c r="N137" s="33">
        <f t="shared" si="34"/>
        <v>-581643.05106014572</v>
      </c>
      <c r="O137" s="33">
        <f t="shared" si="34"/>
        <v>-521593.80387261137</v>
      </c>
      <c r="P137" s="33">
        <f t="shared" si="34"/>
        <v>-465998.35800812021</v>
      </c>
      <c r="Q137" s="31"/>
    </row>
    <row r="138" spans="1:17" s="32" customFormat="1" x14ac:dyDescent="0.25">
      <c r="A138" s="30" t="s">
        <v>88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1"/>
      <c r="L138" s="31"/>
      <c r="M138" s="31"/>
      <c r="N138" s="31"/>
      <c r="O138" s="31"/>
      <c r="P138" s="31"/>
      <c r="Q138" s="31"/>
    </row>
    <row r="139" spans="1:17" s="32" customFormat="1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1"/>
      <c r="L139" s="31"/>
      <c r="M139" s="31"/>
      <c r="N139" s="31"/>
      <c r="O139" s="31"/>
      <c r="P139" s="31"/>
      <c r="Q139" s="31"/>
    </row>
    <row r="140" spans="1:17" s="32" customFormat="1" x14ac:dyDescent="0.25">
      <c r="A140" s="38" t="s">
        <v>118</v>
      </c>
      <c r="B140" s="30"/>
      <c r="C140" s="30"/>
      <c r="D140" s="30"/>
      <c r="E140" s="30"/>
      <c r="F140" s="30"/>
      <c r="G140" s="30"/>
      <c r="H140" s="30"/>
      <c r="I140" s="30"/>
      <c r="J140" s="30"/>
      <c r="K140" s="31"/>
      <c r="L140" s="31"/>
      <c r="M140" s="31"/>
      <c r="N140" s="31"/>
      <c r="O140" s="31"/>
      <c r="P140" s="31"/>
      <c r="Q140" s="31"/>
    </row>
    <row r="141" spans="1:17" s="32" customFormat="1" x14ac:dyDescent="0.25">
      <c r="A141" s="30" t="s">
        <v>111</v>
      </c>
      <c r="B141" s="30"/>
      <c r="C141" s="30"/>
      <c r="D141" s="55">
        <f>D20*(1-0.288)</f>
        <v>2834328.8879999998</v>
      </c>
      <c r="E141" s="55">
        <f t="shared" ref="E141:P141" si="35">E20*(1-0.288)</f>
        <v>2957102.608</v>
      </c>
      <c r="F141" s="55">
        <f t="shared" si="35"/>
        <v>2936943.7519999999</v>
      </c>
      <c r="G141" s="55">
        <f t="shared" si="35"/>
        <v>2583656.4720000001</v>
      </c>
      <c r="H141" s="55">
        <f t="shared" si="35"/>
        <v>1636804.696</v>
      </c>
      <c r="I141" s="55">
        <f t="shared" si="35"/>
        <v>2447754.1839999999</v>
      </c>
      <c r="J141" s="55">
        <f t="shared" si="35"/>
        <v>1488950.064</v>
      </c>
      <c r="K141" s="55">
        <f t="shared" si="35"/>
        <v>0</v>
      </c>
      <c r="L141" s="55"/>
      <c r="M141" s="55">
        <f t="shared" si="35"/>
        <v>3099210.6455648011</v>
      </c>
      <c r="N141" s="55">
        <f t="shared" si="35"/>
        <v>3403253.583987298</v>
      </c>
      <c r="O141" s="55">
        <f t="shared" si="35"/>
        <v>3725317.4846788733</v>
      </c>
      <c r="P141" s="55">
        <f t="shared" si="35"/>
        <v>4066990.0193404108</v>
      </c>
      <c r="Q141" s="31"/>
    </row>
    <row r="142" spans="1:17" s="32" customFormat="1" x14ac:dyDescent="0.25">
      <c r="A142" s="30" t="s">
        <v>112</v>
      </c>
      <c r="B142" s="30"/>
      <c r="C142" s="30"/>
      <c r="D142" s="33">
        <f>D15+D9</f>
        <v>1252759</v>
      </c>
      <c r="E142" s="33">
        <f t="shared" ref="E142:P142" si="36">E15+E9</f>
        <v>1335131</v>
      </c>
      <c r="F142" s="33">
        <f t="shared" si="36"/>
        <v>1296786</v>
      </c>
      <c r="G142" s="33">
        <f t="shared" si="36"/>
        <v>1210440</v>
      </c>
      <c r="H142" s="33">
        <f t="shared" si="36"/>
        <v>1120335</v>
      </c>
      <c r="I142" s="33">
        <f t="shared" si="36"/>
        <v>1016574</v>
      </c>
      <c r="J142" s="33">
        <f t="shared" si="36"/>
        <v>542788</v>
      </c>
      <c r="K142" s="33">
        <f t="shared" si="36"/>
        <v>0</v>
      </c>
      <c r="L142" s="33"/>
      <c r="M142" s="33">
        <f t="shared" si="36"/>
        <v>993052.95</v>
      </c>
      <c r="N142" s="33">
        <f t="shared" si="36"/>
        <v>993052.95</v>
      </c>
      <c r="O142" s="33">
        <f t="shared" si="36"/>
        <v>993052.95</v>
      </c>
      <c r="P142" s="33">
        <f t="shared" si="36"/>
        <v>993052.95</v>
      </c>
      <c r="Q142" s="31"/>
    </row>
    <row r="143" spans="1:17" s="32" customFormat="1" x14ac:dyDescent="0.25">
      <c r="A143" s="30" t="s">
        <v>113</v>
      </c>
      <c r="B143" s="30"/>
      <c r="C143" s="30"/>
      <c r="D143" s="30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1" t="s">
        <v>119</v>
      </c>
    </row>
    <row r="144" spans="1:17" s="32" customFormat="1" x14ac:dyDescent="0.25">
      <c r="A144" s="30" t="s">
        <v>114</v>
      </c>
      <c r="B144" s="30"/>
      <c r="C144" s="30"/>
      <c r="D144" s="30"/>
      <c r="E144" s="33">
        <f>E117-D117</f>
        <v>2427094</v>
      </c>
      <c r="F144" s="33">
        <f t="shared" ref="F144:P144" si="37">F117-E117</f>
        <v>2644006</v>
      </c>
      <c r="G144" s="33">
        <f t="shared" si="37"/>
        <v>2080990</v>
      </c>
      <c r="H144" s="33">
        <f t="shared" si="37"/>
        <v>1776087</v>
      </c>
      <c r="I144" s="33">
        <f t="shared" si="37"/>
        <v>1368517</v>
      </c>
      <c r="J144" s="33">
        <f t="shared" si="37"/>
        <v>698303</v>
      </c>
      <c r="K144" s="33">
        <f t="shared" si="37"/>
        <v>-24865143</v>
      </c>
      <c r="L144" s="33"/>
      <c r="M144" s="33">
        <f t="shared" si="37"/>
        <v>10250899.483999999</v>
      </c>
      <c r="N144" s="33">
        <f t="shared" si="37"/>
        <v>1326407.5451600049</v>
      </c>
      <c r="O144" s="33">
        <f t="shared" si="37"/>
        <v>1383018.487193197</v>
      </c>
      <c r="P144" s="33">
        <f t="shared" si="37"/>
        <v>1445796.7763315253</v>
      </c>
      <c r="Q144" s="31"/>
    </row>
    <row r="145" spans="1:17" s="32" customFormat="1" x14ac:dyDescent="0.25">
      <c r="A145" s="30" t="s">
        <v>115</v>
      </c>
      <c r="B145" s="30"/>
      <c r="C145" s="30"/>
      <c r="D145" s="30"/>
      <c r="E145" s="33">
        <f>E141+E142-E144</f>
        <v>1865139.608</v>
      </c>
      <c r="F145" s="33">
        <f t="shared" ref="F145:P145" si="38">F141+F142-F144</f>
        <v>1589723.7520000003</v>
      </c>
      <c r="G145" s="33">
        <f t="shared" si="38"/>
        <v>1713106.4720000001</v>
      </c>
      <c r="H145" s="33">
        <f t="shared" si="38"/>
        <v>981052.696</v>
      </c>
      <c r="I145" s="33">
        <f t="shared" si="38"/>
        <v>2095811.1839999999</v>
      </c>
      <c r="J145" s="33">
        <f t="shared" si="38"/>
        <v>1333435.064</v>
      </c>
      <c r="K145" s="33">
        <f t="shared" si="38"/>
        <v>24865143</v>
      </c>
      <c r="L145" s="33"/>
      <c r="M145" s="33">
        <f t="shared" si="38"/>
        <v>-6158635.888435198</v>
      </c>
      <c r="N145" s="33">
        <f t="shared" si="38"/>
        <v>3069898.9888272928</v>
      </c>
      <c r="O145" s="33">
        <f t="shared" si="38"/>
        <v>3335351.947485676</v>
      </c>
      <c r="P145" s="33">
        <f t="shared" si="38"/>
        <v>3614246.1930088857</v>
      </c>
      <c r="Q145" s="31"/>
    </row>
    <row r="146" spans="1:17" s="32" customFormat="1" x14ac:dyDescent="0.25">
      <c r="A146" s="30" t="s">
        <v>116</v>
      </c>
      <c r="B146" s="30"/>
      <c r="C146" s="30"/>
      <c r="D146" s="30"/>
      <c r="E146" s="55">
        <f>D16*(1-0.288)</f>
        <v>393805.06399999995</v>
      </c>
      <c r="F146" s="55">
        <f t="shared" ref="F146:P146" si="39">E16*(1-0.288)</f>
        <v>424105.64799999999</v>
      </c>
      <c r="G146" s="55">
        <f t="shared" si="39"/>
        <v>381028.22399999999</v>
      </c>
      <c r="H146" s="55">
        <f t="shared" si="39"/>
        <v>320186.39999999997</v>
      </c>
      <c r="I146" s="55">
        <f t="shared" si="39"/>
        <v>265267.70399999997</v>
      </c>
      <c r="J146" s="55">
        <f t="shared" si="39"/>
        <v>238826.15999999997</v>
      </c>
      <c r="K146" s="55">
        <f t="shared" si="39"/>
        <v>211112.272</v>
      </c>
      <c r="L146" s="55"/>
      <c r="M146" s="55">
        <f t="shared" si="39"/>
        <v>0</v>
      </c>
      <c r="N146" s="55">
        <f t="shared" si="39"/>
        <v>191884.90708800001</v>
      </c>
      <c r="O146" s="55">
        <f t="shared" si="39"/>
        <v>172696.4163792</v>
      </c>
      <c r="P146" s="55">
        <f t="shared" si="39"/>
        <v>155426.77474128004</v>
      </c>
      <c r="Q146" s="31"/>
    </row>
    <row r="147" spans="1:17" s="32" customFormat="1" x14ac:dyDescent="0.25">
      <c r="A147" s="30" t="s">
        <v>117</v>
      </c>
      <c r="B147" s="30"/>
      <c r="C147" s="30"/>
      <c r="D147" s="30"/>
      <c r="E147" s="33">
        <f>E74-D74</f>
        <v>-1093886</v>
      </c>
      <c r="F147" s="33">
        <f t="shared" ref="F147:P147" si="40">F74-E74</f>
        <v>-1028045</v>
      </c>
      <c r="G147" s="33">
        <f t="shared" si="40"/>
        <v>284423</v>
      </c>
      <c r="H147" s="33">
        <f t="shared" si="40"/>
        <v>-498016</v>
      </c>
      <c r="I147" s="33">
        <f t="shared" si="40"/>
        <v>-1510360</v>
      </c>
      <c r="J147" s="33">
        <f t="shared" si="40"/>
        <v>-118895</v>
      </c>
      <c r="K147" s="33">
        <f t="shared" si="40"/>
        <v>-13419219</v>
      </c>
      <c r="L147" s="33"/>
      <c r="M147" s="33">
        <f t="shared" si="40"/>
        <v>11087449.190384639</v>
      </c>
      <c r="N147" s="33">
        <f t="shared" si="40"/>
        <v>-581643.05106014572</v>
      </c>
      <c r="O147" s="33">
        <f t="shared" si="40"/>
        <v>-521593.80387261137</v>
      </c>
      <c r="P147" s="33">
        <f t="shared" si="40"/>
        <v>-465998.35800812021</v>
      </c>
      <c r="Q147" s="31"/>
    </row>
    <row r="148" spans="1:17" s="32" customFormat="1" x14ac:dyDescent="0.25">
      <c r="A148" s="30" t="s">
        <v>120</v>
      </c>
      <c r="B148" s="30"/>
      <c r="C148" s="30"/>
      <c r="D148" s="30"/>
      <c r="E148" s="33">
        <f>E145-E146+E147</f>
        <v>377448.54399999999</v>
      </c>
      <c r="F148" s="33">
        <f t="shared" ref="F148:P148" si="41">F145-F146+F147</f>
        <v>137573.10400000028</v>
      </c>
      <c r="G148" s="33">
        <f t="shared" si="41"/>
        <v>1616501.2480000001</v>
      </c>
      <c r="H148" s="33">
        <f t="shared" si="41"/>
        <v>162850.29600000009</v>
      </c>
      <c r="I148" s="33">
        <f t="shared" si="41"/>
        <v>320183.48</v>
      </c>
      <c r="J148" s="33">
        <f t="shared" si="41"/>
        <v>975713.9040000001</v>
      </c>
      <c r="K148" s="33">
        <f t="shared" si="41"/>
        <v>11234811.728</v>
      </c>
      <c r="L148" s="33"/>
      <c r="M148" s="33">
        <f t="shared" si="41"/>
        <v>4928813.3019494414</v>
      </c>
      <c r="N148" s="33">
        <f t="shared" si="41"/>
        <v>2296371.0306791472</v>
      </c>
      <c r="O148" s="33">
        <f t="shared" si="41"/>
        <v>2641061.7272338648</v>
      </c>
      <c r="P148" s="33">
        <f t="shared" si="41"/>
        <v>2992821.0602594856</v>
      </c>
      <c r="Q148" s="31"/>
    </row>
    <row r="149" spans="1:17" s="32" customFormat="1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1"/>
      <c r="L149" s="31"/>
      <c r="M149" s="31"/>
      <c r="N149" s="31"/>
      <c r="O149" s="31"/>
      <c r="P149" s="31"/>
      <c r="Q149" s="31"/>
    </row>
    <row r="150" spans="1:17" s="6" customFormat="1" x14ac:dyDescent="0.25">
      <c r="A150" s="3" t="s">
        <v>81</v>
      </c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5"/>
      <c r="M150" s="37" t="s">
        <v>64</v>
      </c>
      <c r="N150" s="37" t="s">
        <v>65</v>
      </c>
      <c r="O150" s="37" t="s">
        <v>66</v>
      </c>
      <c r="P150" s="37" t="s">
        <v>67</v>
      </c>
      <c r="Q150" s="5"/>
    </row>
    <row r="151" spans="1:17" s="6" customFormat="1" x14ac:dyDescent="0.25">
      <c r="A151" s="4" t="s">
        <v>122</v>
      </c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5"/>
      <c r="M151" s="56">
        <v>1</v>
      </c>
      <c r="N151" s="56">
        <v>2</v>
      </c>
      <c r="O151" s="56">
        <v>3</v>
      </c>
      <c r="P151" s="56">
        <v>4</v>
      </c>
      <c r="Q151" s="5"/>
    </row>
    <row r="152" spans="1:17" s="6" customFormat="1" x14ac:dyDescent="0.25">
      <c r="A152" s="4" t="s">
        <v>121</v>
      </c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5"/>
      <c r="M152" s="5">
        <v>0.06</v>
      </c>
      <c r="N152" s="5">
        <v>0.06</v>
      </c>
      <c r="O152" s="5">
        <v>0.06</v>
      </c>
      <c r="P152" s="5">
        <v>0.06</v>
      </c>
      <c r="Q152" s="5" t="s">
        <v>123</v>
      </c>
    </row>
    <row r="153" spans="1:17" s="6" customFormat="1" x14ac:dyDescent="0.25">
      <c r="A153" s="4" t="s">
        <v>124</v>
      </c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5"/>
      <c r="M153" s="57">
        <f>M148</f>
        <v>4928813.3019494414</v>
      </c>
      <c r="N153" s="57">
        <f t="shared" ref="N153:P153" si="42">N148</f>
        <v>2296371.0306791472</v>
      </c>
      <c r="O153" s="57">
        <f t="shared" si="42"/>
        <v>2641061.7272338648</v>
      </c>
      <c r="P153" s="57">
        <f t="shared" si="42"/>
        <v>2992821.0602594856</v>
      </c>
      <c r="Q153" s="5"/>
    </row>
    <row r="154" spans="1:17" s="6" customFormat="1" x14ac:dyDescent="0.25">
      <c r="A154" s="4" t="s">
        <v>125</v>
      </c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5"/>
      <c r="M154" s="58">
        <f>M153/(1+M152)^1</f>
        <v>4649823.8697636239</v>
      </c>
      <c r="N154" s="58">
        <f>N153/(1+N152)^2</f>
        <v>2043762.0422562717</v>
      </c>
      <c r="O154" s="58">
        <f>O153/(1+O152)^3</f>
        <v>2217486.3538641497</v>
      </c>
      <c r="P154" s="58">
        <f>P153/(1+P152)^4</f>
        <v>2370594.597036832</v>
      </c>
      <c r="Q154" s="5"/>
    </row>
    <row r="155" spans="1:17" s="6" customFormat="1" x14ac:dyDescent="0.25">
      <c r="A155" s="4" t="s">
        <v>126</v>
      </c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5"/>
      <c r="M155" s="57">
        <f>SUM(M154:P154)</f>
        <v>11281666.862920877</v>
      </c>
      <c r="N155" s="5"/>
      <c r="O155" s="5"/>
      <c r="P155" s="5"/>
      <c r="Q155" s="5"/>
    </row>
    <row r="156" spans="1:17" s="6" customFormat="1" x14ac:dyDescent="0.25">
      <c r="A156" s="4" t="s">
        <v>127</v>
      </c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5"/>
      <c r="M156" s="59">
        <f>M155/13932915</f>
        <v>0.80971332007127561</v>
      </c>
      <c r="N156" s="5"/>
      <c r="O156" s="5"/>
      <c r="P156" s="5"/>
      <c r="Q156" s="5"/>
    </row>
    <row r="157" spans="1:17" s="6" customForma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5"/>
      <c r="M157" s="5"/>
      <c r="N157" s="5"/>
      <c r="O157" s="5"/>
      <c r="P157" s="5"/>
      <c r="Q157" s="5"/>
    </row>
    <row r="158" spans="1:17" s="6" customForma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5"/>
      <c r="M158" s="5"/>
      <c r="N158" s="5"/>
      <c r="O158" s="5"/>
      <c r="P158" s="5"/>
      <c r="Q158" s="5"/>
    </row>
    <row r="159" spans="1:17" s="6" customForma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5"/>
      <c r="M159" s="5"/>
      <c r="N159" s="5"/>
      <c r="O159" s="5"/>
      <c r="P159" s="5"/>
      <c r="Q159" s="5"/>
    </row>
    <row r="160" spans="1:17" s="6" customForma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5"/>
      <c r="M160" s="5"/>
      <c r="N160" s="5"/>
      <c r="O160" s="5"/>
      <c r="P160" s="5"/>
      <c r="Q160" s="5"/>
    </row>
    <row r="161" spans="1:17" s="6" customForma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5"/>
      <c r="M161" s="5"/>
      <c r="N161" s="5"/>
      <c r="O161" s="5"/>
      <c r="P161" s="5"/>
      <c r="Q161" s="5"/>
    </row>
    <row r="162" spans="1:17" s="6" customForma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5"/>
      <c r="M162" s="5"/>
      <c r="N162" s="5"/>
      <c r="O162" s="5"/>
      <c r="P162" s="5"/>
      <c r="Q162" s="5"/>
    </row>
    <row r="163" spans="1:17" s="6" customForma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5"/>
      <c r="M163" s="5"/>
      <c r="N163" s="5"/>
      <c r="O163" s="5"/>
      <c r="P163" s="5"/>
      <c r="Q163" s="5"/>
    </row>
    <row r="164" spans="1:17" s="6" customForma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5"/>
      <c r="M164" s="5"/>
      <c r="N164" s="5"/>
      <c r="O164" s="5"/>
      <c r="P164" s="5"/>
      <c r="Q164" s="5"/>
    </row>
    <row r="165" spans="1:17" s="6" customForma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5"/>
      <c r="M165" s="5"/>
      <c r="N165" s="5"/>
      <c r="O165" s="5"/>
      <c r="P165" s="5"/>
      <c r="Q165" s="5"/>
    </row>
    <row r="166" spans="1:17" s="6" customForma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5"/>
      <c r="M166" s="5"/>
      <c r="N166" s="5"/>
      <c r="O166" s="5"/>
      <c r="P166" s="5"/>
      <c r="Q166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</dc:creator>
  <cp:lastModifiedBy>Gamer</cp:lastModifiedBy>
  <dcterms:created xsi:type="dcterms:W3CDTF">2013-01-14T21:25:39Z</dcterms:created>
  <dcterms:modified xsi:type="dcterms:W3CDTF">2015-11-01T14:55:23Z</dcterms:modified>
</cp:coreProperties>
</file>