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ben\Google Drive\_ACCO691 BV\ACCO 691 - Business Valuation\Case 6 - Ryanair\"/>
    </mc:Choice>
  </mc:AlternateContent>
  <bookViews>
    <workbookView xWindow="0" yWindow="0" windowWidth="28800" windowHeight="11385" activeTab="1"/>
  </bookViews>
  <sheets>
    <sheet name="Sheet1" sheetId="1" r:id="rId1"/>
    <sheet name="Valuation" sheetId="2" r:id="rId2"/>
    <sheet name="sales forecast" sheetId="3" r:id="rId3"/>
  </sheets>
  <calcPr calcId="152511"/>
</workbook>
</file>

<file path=xl/calcChain.xml><?xml version="1.0" encoding="utf-8"?>
<calcChain xmlns="http://schemas.openxmlformats.org/spreadsheetml/2006/main">
  <c r="E9" i="3" l="1"/>
  <c r="E8" i="3"/>
  <c r="E7" i="3"/>
  <c r="E4" i="3"/>
  <c r="E5" i="3"/>
  <c r="D4" i="3"/>
  <c r="D13" i="3"/>
  <c r="D11" i="3"/>
  <c r="D10" i="3" s="1"/>
  <c r="D9" i="3" s="1"/>
  <c r="C13" i="3"/>
  <c r="C11" i="3"/>
  <c r="C12" i="3"/>
  <c r="C10" i="3"/>
  <c r="C9" i="3"/>
  <c r="C4" i="2"/>
  <c r="C3" i="2"/>
  <c r="C7" i="2"/>
  <c r="C6" i="2"/>
  <c r="J6" i="2" l="1"/>
  <c r="J3" i="2"/>
  <c r="J2" i="2"/>
  <c r="G76" i="1" l="1"/>
  <c r="F76" i="1"/>
  <c r="G67" i="1"/>
  <c r="F67" i="1"/>
  <c r="E67" i="1"/>
  <c r="G56" i="1"/>
  <c r="G84" i="1" s="1"/>
  <c r="F56" i="1"/>
  <c r="F84" i="1" s="1"/>
  <c r="G47" i="1"/>
  <c r="F47" i="1"/>
  <c r="G37" i="1"/>
  <c r="F37" i="1"/>
  <c r="E37" i="1"/>
  <c r="G21" i="1"/>
  <c r="J21" i="1" s="1"/>
  <c r="F21" i="1"/>
  <c r="I21" i="1" s="1"/>
  <c r="E21" i="1"/>
  <c r="G15" i="1"/>
  <c r="G12" i="1"/>
  <c r="G34" i="1" s="1"/>
  <c r="F12" i="1"/>
  <c r="F34" i="1" s="1"/>
  <c r="E12" i="1"/>
  <c r="I8" i="1"/>
  <c r="G8" i="1"/>
  <c r="G30" i="1" s="1"/>
  <c r="F8" i="1"/>
  <c r="I20" i="1" s="1"/>
  <c r="E8" i="1"/>
  <c r="E14" i="1" s="1"/>
  <c r="J6" i="1"/>
  <c r="J10" i="1" l="1"/>
  <c r="I12" i="1"/>
  <c r="I18" i="1"/>
  <c r="H12" i="1"/>
  <c r="J12" i="1"/>
  <c r="J18" i="1"/>
  <c r="G14" i="1"/>
  <c r="J14" i="1" s="1"/>
  <c r="J19" i="1"/>
  <c r="F73" i="1"/>
  <c r="G82" i="1"/>
  <c r="J8" i="1"/>
  <c r="J15" i="1"/>
  <c r="H21" i="1"/>
  <c r="G73" i="1"/>
  <c r="E22" i="1"/>
  <c r="J15" i="2" s="1"/>
  <c r="H14" i="1"/>
  <c r="H17" i="1"/>
  <c r="G22" i="1"/>
  <c r="E34" i="1"/>
  <c r="H7" i="1"/>
  <c r="H11" i="1"/>
  <c r="H20" i="1"/>
  <c r="H10" i="1"/>
  <c r="I15" i="1"/>
  <c r="J17" i="1"/>
  <c r="H19" i="1"/>
  <c r="J23" i="1"/>
  <c r="F30" i="1"/>
  <c r="I6" i="1"/>
  <c r="J7" i="1"/>
  <c r="H8" i="1"/>
  <c r="I10" i="1"/>
  <c r="J11" i="1"/>
  <c r="F14" i="1"/>
  <c r="H18" i="1"/>
  <c r="I19" i="1"/>
  <c r="J20" i="1"/>
  <c r="F82" i="1"/>
  <c r="H23" i="1"/>
  <c r="H15" i="1"/>
  <c r="I17" i="1"/>
  <c r="I23" i="1"/>
  <c r="E30" i="1"/>
  <c r="H6" i="1"/>
  <c r="I7" i="1"/>
  <c r="I11" i="1"/>
  <c r="C5" i="2" l="1"/>
  <c r="L15" i="2"/>
  <c r="E24" i="1"/>
  <c r="H22" i="1"/>
  <c r="F22" i="1"/>
  <c r="K15" i="2" s="1"/>
  <c r="I14" i="1"/>
  <c r="J22" i="1"/>
  <c r="G24" i="1"/>
  <c r="J16" i="2" l="1"/>
  <c r="J5" i="2" s="1"/>
  <c r="J8" i="2" s="1"/>
  <c r="C2" i="2"/>
  <c r="J24" i="1"/>
  <c r="G72" i="1"/>
  <c r="G74" i="1" s="1"/>
  <c r="G81" i="1"/>
  <c r="G83" i="1" s="1"/>
  <c r="G85" i="1" s="1"/>
  <c r="E81" i="1"/>
  <c r="H24" i="1"/>
  <c r="E72" i="1"/>
  <c r="I22" i="1"/>
  <c r="F24" i="1"/>
  <c r="G75" i="1" l="1"/>
  <c r="G77" i="1" s="1"/>
  <c r="G78" i="1" s="1"/>
  <c r="I24" i="1"/>
  <c r="F72" i="1"/>
  <c r="F74" i="1" s="1"/>
  <c r="F81" i="1"/>
  <c r="F83" i="1" s="1"/>
  <c r="F85" i="1" s="1"/>
  <c r="F75" i="1" l="1"/>
  <c r="F77" i="1" s="1"/>
  <c r="F78" i="1" s="1"/>
</calcChain>
</file>

<file path=xl/sharedStrings.xml><?xml version="1.0" encoding="utf-8"?>
<sst xmlns="http://schemas.openxmlformats.org/spreadsheetml/2006/main" count="96" uniqueCount="93">
  <si>
    <t>Ryanair</t>
  </si>
  <si>
    <t>Consolidated Profit and Loss Account (million of euros)</t>
  </si>
  <si>
    <t>Operating Revenue</t>
  </si>
  <si>
    <t>Scheduled</t>
  </si>
  <si>
    <t>Ancillary</t>
  </si>
  <si>
    <t>Operating Expenses</t>
  </si>
  <si>
    <t>Staff</t>
  </si>
  <si>
    <t>Other</t>
  </si>
  <si>
    <t>Operating Margin</t>
  </si>
  <si>
    <t>Depreciation and amortization</t>
  </si>
  <si>
    <t>FX Gains</t>
  </si>
  <si>
    <t>Gain(loss)</t>
  </si>
  <si>
    <t>Interest income</t>
  </si>
  <si>
    <t>Interest expense</t>
  </si>
  <si>
    <t>Earnings before income taxes</t>
  </si>
  <si>
    <t>Income taxes</t>
  </si>
  <si>
    <t>Net profit</t>
  </si>
  <si>
    <t>NOPAT</t>
  </si>
  <si>
    <t>Residual income</t>
  </si>
  <si>
    <t>ASSUMPTIONS</t>
  </si>
  <si>
    <t>Number of passengers (000,000)</t>
  </si>
  <si>
    <t>Revenue per passenger</t>
  </si>
  <si>
    <t>Fare growth</t>
  </si>
  <si>
    <t>Expense growth</t>
  </si>
  <si>
    <t>Passenger growth</t>
  </si>
  <si>
    <t>Operating cost per passenger</t>
  </si>
  <si>
    <t>Income tax rate</t>
  </si>
  <si>
    <t>Investment in working capital (%sales growth)</t>
  </si>
  <si>
    <t>Capital expenditures ($000,000 per million passenger growth)</t>
  </si>
  <si>
    <t>Consolidated Balance Sheet (million of euros)</t>
  </si>
  <si>
    <t>Fixed Assets</t>
  </si>
  <si>
    <t>Current Assets</t>
  </si>
  <si>
    <t>Cash</t>
  </si>
  <si>
    <t>Others</t>
  </si>
  <si>
    <t>Current Liabilities</t>
  </si>
  <si>
    <t>Trade and operating</t>
  </si>
  <si>
    <t>Financial</t>
  </si>
  <si>
    <t>Other Liabilities</t>
  </si>
  <si>
    <t>Long-Term Debt</t>
  </si>
  <si>
    <t>Equity</t>
  </si>
  <si>
    <t>Consolidated Cash Flow Statement</t>
  </si>
  <si>
    <t>Operations</t>
  </si>
  <si>
    <t>Investment</t>
  </si>
  <si>
    <t>Capital expenditures</t>
  </si>
  <si>
    <t>Acquisitions</t>
  </si>
  <si>
    <t>Financing</t>
  </si>
  <si>
    <t>Finance investment and servicing</t>
  </si>
  <si>
    <t>Change in liquid resources</t>
  </si>
  <si>
    <t>Change in cash</t>
  </si>
  <si>
    <t>BASIC RATIO ANALYSIS (using year-end values for balance sheet accounts)</t>
  </si>
  <si>
    <t>Net operating profit margin</t>
  </si>
  <si>
    <t>Net operating asset turnover</t>
  </si>
  <si>
    <t>Operating ROA</t>
  </si>
  <si>
    <t>Spread</t>
  </si>
  <si>
    <t>Net financial leverage</t>
  </si>
  <si>
    <t>Financial leverage gain</t>
  </si>
  <si>
    <t>Return on equity</t>
  </si>
  <si>
    <t>Traditional decomposition</t>
  </si>
  <si>
    <t>Net profit margin</t>
  </si>
  <si>
    <t>Asset turnover</t>
  </si>
  <si>
    <t>Return on assets</t>
  </si>
  <si>
    <t>Financial leverage</t>
  </si>
  <si>
    <t>WACC = D/(D+E)(1-T)rd + E/(D/E)re</t>
  </si>
  <si>
    <t>D=</t>
  </si>
  <si>
    <t>E</t>
  </si>
  <si>
    <t>T</t>
  </si>
  <si>
    <t>rd = int/debt</t>
  </si>
  <si>
    <t>re = profit/eq</t>
  </si>
  <si>
    <t>1- WACC:</t>
  </si>
  <si>
    <t>EQUITY VALUE =</t>
  </si>
  <si>
    <t>VALUE OF NET OP. A</t>
  </si>
  <si>
    <t xml:space="preserve"> + VALUE INV. A</t>
  </si>
  <si>
    <t xml:space="preserve"> + VALUE NET ASSETS HELD FOR SALE</t>
  </si>
  <si>
    <t xml:space="preserve"> - VALUE OF DEBT </t>
  </si>
  <si>
    <t xml:space="preserve"> - VALUE MINORITY INTEREST</t>
  </si>
  <si>
    <t xml:space="preserve"> + PV  TAX SHIELD ON DEBT*</t>
  </si>
  <si>
    <t>*PV  TAX SHIELD ON DEBT</t>
  </si>
  <si>
    <t>NB SHARES</t>
  </si>
  <si>
    <t>BASIC</t>
  </si>
  <si>
    <t>DILUTED</t>
  </si>
  <si>
    <t># plane</t>
  </si>
  <si>
    <t>Sales</t>
  </si>
  <si>
    <t>Incremental</t>
  </si>
  <si>
    <t>2004 - Existing</t>
  </si>
  <si>
    <t>New Total</t>
  </si>
  <si>
    <t>Load factor</t>
  </si>
  <si>
    <t>ARPP</t>
  </si>
  <si>
    <t># used seats/plane</t>
  </si>
  <si>
    <t>Seat capacity</t>
  </si>
  <si>
    <t># passengers/yr</t>
  </si>
  <si>
    <t># passenger/plane/yr</t>
  </si>
  <si>
    <t># trips/plane/yr</t>
  </si>
  <si>
    <t>Revenue/trip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</si>
</sst>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* #,##0.000_-;\-* #,##0.000_-;_-* &quot;-&quot;??_-;_-@_-"/>
    <numFmt numFmtId="168" formatCode="0.000%"/>
    <numFmt numFmtId="170" formatCode="_-&quot;$&quot;* #,##0_-;\-&quot;$&quot;* #,##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6" fontId="0" fillId="0" borderId="0" xfId="1" applyNumberFormat="1" applyFont="1"/>
    <xf numFmtId="9" fontId="0" fillId="0" borderId="0" xfId="2" applyFont="1"/>
    <xf numFmtId="166" fontId="2" fillId="0" borderId="0" xfId="1" applyNumberFormat="1" applyFont="1"/>
    <xf numFmtId="165" fontId="0" fillId="0" borderId="0" xfId="1" applyNumberFormat="1" applyFont="1"/>
    <xf numFmtId="165" fontId="0" fillId="0" borderId="0" xfId="0" applyNumberFormat="1"/>
    <xf numFmtId="167" fontId="0" fillId="0" borderId="0" xfId="0" applyNumberFormat="1"/>
    <xf numFmtId="10" fontId="0" fillId="0" borderId="0" xfId="2" applyNumberFormat="1" applyFont="1"/>
    <xf numFmtId="168" fontId="2" fillId="0" borderId="0" xfId="2" applyNumberFormat="1" applyFont="1"/>
    <xf numFmtId="49" fontId="0" fillId="0" borderId="0" xfId="0" applyNumberFormat="1"/>
    <xf numFmtId="164" fontId="0" fillId="0" borderId="0" xfId="3" applyFont="1"/>
    <xf numFmtId="164" fontId="0" fillId="0" borderId="0" xfId="0" applyNumberFormat="1"/>
    <xf numFmtId="170" fontId="0" fillId="0" borderId="0" xfId="3" applyNumberFormat="1" applyFont="1"/>
    <xf numFmtId="9" fontId="0" fillId="0" borderId="0" xfId="3" applyNumberFormat="1" applyFont="1"/>
    <xf numFmtId="0" fontId="0" fillId="0" borderId="1" xfId="0" applyBorder="1"/>
    <xf numFmtId="1" fontId="0" fillId="0" borderId="1" xfId="3" applyNumberFormat="1" applyFont="1" applyBorder="1"/>
    <xf numFmtId="170" fontId="0" fillId="0" borderId="1" xfId="3" applyNumberFormat="1" applyFont="1" applyBorder="1"/>
    <xf numFmtId="1" fontId="0" fillId="0" borderId="1" xfId="0" applyNumberFormat="1" applyBorder="1"/>
    <xf numFmtId="9" fontId="0" fillId="0" borderId="1" xfId="3" applyNumberFormat="1" applyFont="1" applyBorder="1"/>
    <xf numFmtId="9" fontId="0" fillId="2" borderId="1" xfId="3" applyNumberFormat="1" applyFont="1" applyFill="1" applyBorder="1"/>
    <xf numFmtId="9" fontId="0" fillId="0" borderId="1" xfId="2" applyFont="1" applyBorder="1"/>
    <xf numFmtId="170" fontId="0" fillId="2" borderId="1" xfId="3" applyNumberFormat="1" applyFont="1" applyFill="1" applyBorder="1"/>
    <xf numFmtId="170" fontId="0" fillId="0" borderId="1" xfId="0" applyNumberFormat="1" applyBorder="1"/>
    <xf numFmtId="3" fontId="0" fillId="0" borderId="1" xfId="3" applyNumberFormat="1" applyFont="1" applyBorder="1"/>
    <xf numFmtId="3" fontId="0" fillId="0" borderId="1" xfId="0" applyNumberFormat="1" applyBorder="1"/>
    <xf numFmtId="3" fontId="0" fillId="2" borderId="1" xfId="3" applyNumberFormat="1" applyFont="1" applyFill="1" applyBorder="1"/>
    <xf numFmtId="44" fontId="0" fillId="0" borderId="1" xfId="3" applyNumberFormat="1" applyFont="1" applyBorder="1"/>
    <xf numFmtId="0" fontId="2" fillId="0" borderId="1" xfId="0" applyFont="1" applyBorder="1"/>
    <xf numFmtId="1" fontId="2" fillId="0" borderId="1" xfId="3" applyNumberFormat="1" applyFont="1" applyBorder="1"/>
    <xf numFmtId="49" fontId="0" fillId="0" borderId="2" xfId="0" applyNumberFormat="1" applyBorder="1"/>
    <xf numFmtId="164" fontId="0" fillId="0" borderId="2" xfId="3" applyFont="1" applyBorder="1"/>
    <xf numFmtId="0" fontId="0" fillId="3" borderId="0" xfId="0" applyFill="1"/>
    <xf numFmtId="164" fontId="2" fillId="3" borderId="0" xfId="3" applyFont="1" applyFill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20</xdr:row>
      <xdr:rowOff>180975</xdr:rowOff>
    </xdr:from>
    <xdr:to>
      <xdr:col>8</xdr:col>
      <xdr:colOff>904875</xdr:colOff>
      <xdr:row>28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3990975"/>
          <a:ext cx="306705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3</xdr:col>
      <xdr:colOff>9525</xdr:colOff>
      <xdr:row>16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0"/>
          <a:ext cx="27527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5</xdr:col>
      <xdr:colOff>9525</xdr:colOff>
      <xdr:row>28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38500"/>
          <a:ext cx="4819650" cy="2105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opLeftCell="A43" workbookViewId="0">
      <selection activeCell="G55" sqref="G55"/>
    </sheetView>
  </sheetViews>
  <sheetFormatPr defaultRowHeight="15" x14ac:dyDescent="0.25"/>
  <cols>
    <col min="3" max="3" width="11" customWidth="1"/>
  </cols>
  <sheetData>
    <row r="1" spans="1:10" x14ac:dyDescent="0.25">
      <c r="A1" s="1" t="s">
        <v>0</v>
      </c>
    </row>
    <row r="2" spans="1:10" x14ac:dyDescent="0.25">
      <c r="A2" s="1" t="s">
        <v>1</v>
      </c>
    </row>
    <row r="3" spans="1:10" x14ac:dyDescent="0.25">
      <c r="E3">
        <v>2002</v>
      </c>
      <c r="F3">
        <v>2003</v>
      </c>
      <c r="G3">
        <v>2004</v>
      </c>
      <c r="H3">
        <v>2002</v>
      </c>
      <c r="I3">
        <v>2003</v>
      </c>
      <c r="J3">
        <v>2004</v>
      </c>
    </row>
    <row r="5" spans="1:10" x14ac:dyDescent="0.25">
      <c r="A5" t="s">
        <v>2</v>
      </c>
    </row>
    <row r="6" spans="1:10" x14ac:dyDescent="0.25">
      <c r="A6" t="s">
        <v>3</v>
      </c>
      <c r="E6" s="2">
        <v>551</v>
      </c>
      <c r="F6" s="2">
        <v>732</v>
      </c>
      <c r="G6" s="2">
        <v>925</v>
      </c>
      <c r="H6" s="3">
        <f>+E6/$E$8</f>
        <v>0.88301282051282048</v>
      </c>
      <c r="I6" s="3">
        <f>+F6/$F$8</f>
        <v>0.8683274021352313</v>
      </c>
      <c r="J6" s="3">
        <f>+G6/$G$8</f>
        <v>0.86046511627906974</v>
      </c>
    </row>
    <row r="7" spans="1:10" x14ac:dyDescent="0.25">
      <c r="A7" t="s">
        <v>4</v>
      </c>
      <c r="E7" s="2">
        <v>73</v>
      </c>
      <c r="F7" s="2">
        <v>111</v>
      </c>
      <c r="G7" s="2">
        <v>150</v>
      </c>
      <c r="H7" s="3">
        <f t="shared" ref="H7:H24" si="0">+E7/$E$8</f>
        <v>0.11698717948717949</v>
      </c>
      <c r="I7" s="3">
        <f t="shared" ref="I7:I24" si="1">+F7/$F$8</f>
        <v>0.13167259786476868</v>
      </c>
      <c r="J7" s="3">
        <f t="shared" ref="J7:J24" si="2">+G7/$G$8</f>
        <v>0.13953488372093023</v>
      </c>
    </row>
    <row r="8" spans="1:10" x14ac:dyDescent="0.25">
      <c r="E8" s="2">
        <f>+SUM(E6:E7)</f>
        <v>624</v>
      </c>
      <c r="F8" s="2">
        <f>+SUM(F6:F7)</f>
        <v>843</v>
      </c>
      <c r="G8" s="2">
        <f>+SUM(G6:G7)</f>
        <v>1075</v>
      </c>
      <c r="H8" s="3">
        <f t="shared" si="0"/>
        <v>1</v>
      </c>
      <c r="I8" s="3">
        <f t="shared" si="1"/>
        <v>1</v>
      </c>
      <c r="J8" s="3">
        <f t="shared" si="2"/>
        <v>1</v>
      </c>
    </row>
    <row r="9" spans="1:10" x14ac:dyDescent="0.25">
      <c r="A9" t="s">
        <v>5</v>
      </c>
      <c r="E9" s="2"/>
      <c r="F9" s="2"/>
      <c r="G9" s="2"/>
      <c r="H9" s="3"/>
      <c r="I9" s="3"/>
      <c r="J9" s="3"/>
    </row>
    <row r="10" spans="1:10" x14ac:dyDescent="0.25">
      <c r="A10" t="s">
        <v>6</v>
      </c>
      <c r="E10" s="2">
        <v>78</v>
      </c>
      <c r="F10" s="2">
        <v>93</v>
      </c>
      <c r="G10" s="2">
        <v>124</v>
      </c>
      <c r="H10" s="3">
        <f t="shared" si="0"/>
        <v>0.125</v>
      </c>
      <c r="I10" s="3">
        <f t="shared" si="1"/>
        <v>0.1103202846975089</v>
      </c>
      <c r="J10" s="3">
        <f t="shared" si="2"/>
        <v>0.11534883720930232</v>
      </c>
    </row>
    <row r="11" spans="1:10" x14ac:dyDescent="0.25">
      <c r="A11" t="s">
        <v>7</v>
      </c>
      <c r="E11" s="2">
        <v>324</v>
      </c>
      <c r="F11" s="2">
        <v>409</v>
      </c>
      <c r="G11" s="2">
        <v>598</v>
      </c>
      <c r="H11" s="3">
        <f t="shared" si="0"/>
        <v>0.51923076923076927</v>
      </c>
      <c r="I11" s="3">
        <f t="shared" si="1"/>
        <v>0.48517200474495847</v>
      </c>
      <c r="J11" s="3">
        <f t="shared" si="2"/>
        <v>0.5562790697674419</v>
      </c>
    </row>
    <row r="12" spans="1:10" x14ac:dyDescent="0.25">
      <c r="E12" s="2">
        <f>+SUM(E10:E11)</f>
        <v>402</v>
      </c>
      <c r="F12" s="2">
        <f>+SUM(F10:F11)</f>
        <v>502</v>
      </c>
      <c r="G12" s="2">
        <f>+SUM(G10:G11)</f>
        <v>722</v>
      </c>
      <c r="H12" s="3">
        <f t="shared" si="0"/>
        <v>0.64423076923076927</v>
      </c>
      <c r="I12" s="3">
        <f t="shared" si="1"/>
        <v>0.59549228944246735</v>
      </c>
      <c r="J12" s="3">
        <f t="shared" si="2"/>
        <v>0.67162790697674424</v>
      </c>
    </row>
    <row r="13" spans="1:10" x14ac:dyDescent="0.25">
      <c r="E13" s="2"/>
      <c r="F13" s="2"/>
      <c r="G13" s="2"/>
      <c r="H13" s="3"/>
      <c r="I13" s="3"/>
      <c r="J13" s="3"/>
    </row>
    <row r="14" spans="1:10" x14ac:dyDescent="0.25">
      <c r="A14" t="s">
        <v>8</v>
      </c>
      <c r="E14" s="2">
        <f>+E8-E12</f>
        <v>222</v>
      </c>
      <c r="F14" s="2">
        <f>+F8-F12</f>
        <v>341</v>
      </c>
      <c r="G14" s="2">
        <f>+G8-G12</f>
        <v>353</v>
      </c>
      <c r="H14" s="3">
        <f t="shared" si="0"/>
        <v>0.35576923076923078</v>
      </c>
      <c r="I14" s="3">
        <f t="shared" si="1"/>
        <v>0.4045077105575326</v>
      </c>
      <c r="J14" s="3">
        <f t="shared" si="2"/>
        <v>0.32837209302325582</v>
      </c>
    </row>
    <row r="15" spans="1:10" x14ac:dyDescent="0.25">
      <c r="A15" t="s">
        <v>9</v>
      </c>
      <c r="E15" s="2">
        <v>59</v>
      </c>
      <c r="F15" s="2">
        <v>77</v>
      </c>
      <c r="G15" s="2">
        <f>101+2</f>
        <v>103</v>
      </c>
      <c r="H15" s="3">
        <f t="shared" si="0"/>
        <v>9.4551282051282048E-2</v>
      </c>
      <c r="I15" s="3">
        <f t="shared" si="1"/>
        <v>9.1340450771055751E-2</v>
      </c>
      <c r="J15" s="3">
        <f t="shared" si="2"/>
        <v>9.5813953488372086E-2</v>
      </c>
    </row>
    <row r="16" spans="1:10" x14ac:dyDescent="0.25">
      <c r="A16" t="s">
        <v>7</v>
      </c>
      <c r="E16" s="2"/>
      <c r="F16" s="2"/>
      <c r="G16" s="2"/>
      <c r="H16" s="3"/>
      <c r="I16" s="3"/>
      <c r="J16" s="3"/>
    </row>
    <row r="17" spans="1:10" x14ac:dyDescent="0.25">
      <c r="B17" t="s">
        <v>10</v>
      </c>
      <c r="E17" s="2">
        <v>1</v>
      </c>
      <c r="F17" s="2">
        <v>1</v>
      </c>
      <c r="G17" s="2">
        <v>3</v>
      </c>
      <c r="H17" s="3">
        <f t="shared" si="0"/>
        <v>1.6025641025641025E-3</v>
      </c>
      <c r="I17" s="3">
        <f t="shared" si="1"/>
        <v>1.1862396204033216E-3</v>
      </c>
      <c r="J17" s="3">
        <f t="shared" si="2"/>
        <v>2.7906976744186047E-3</v>
      </c>
    </row>
    <row r="18" spans="1:10" x14ac:dyDescent="0.25">
      <c r="B18" t="s">
        <v>11</v>
      </c>
      <c r="E18" s="2">
        <v>1</v>
      </c>
      <c r="F18" s="2">
        <v>0</v>
      </c>
      <c r="G18" s="2">
        <v>0</v>
      </c>
      <c r="H18" s="3">
        <f t="shared" si="0"/>
        <v>1.6025641025641025E-3</v>
      </c>
      <c r="I18" s="3">
        <f t="shared" si="1"/>
        <v>0</v>
      </c>
      <c r="J18" s="3">
        <f t="shared" si="2"/>
        <v>0</v>
      </c>
    </row>
    <row r="19" spans="1:10" x14ac:dyDescent="0.25">
      <c r="B19" t="s">
        <v>12</v>
      </c>
      <c r="E19" s="2">
        <v>28</v>
      </c>
      <c r="F19" s="2">
        <v>31</v>
      </c>
      <c r="G19" s="2">
        <v>24</v>
      </c>
      <c r="H19" s="3">
        <f t="shared" si="0"/>
        <v>4.4871794871794872E-2</v>
      </c>
      <c r="I19" s="3">
        <f t="shared" si="1"/>
        <v>3.6773428232502965E-2</v>
      </c>
      <c r="J19" s="3">
        <f t="shared" si="2"/>
        <v>2.2325581395348838E-2</v>
      </c>
    </row>
    <row r="20" spans="1:10" x14ac:dyDescent="0.25">
      <c r="B20" t="s">
        <v>13</v>
      </c>
      <c r="E20" s="2">
        <v>-20</v>
      </c>
      <c r="F20" s="2">
        <v>-31</v>
      </c>
      <c r="G20" s="2">
        <v>-48</v>
      </c>
      <c r="H20" s="3">
        <f t="shared" si="0"/>
        <v>-3.2051282051282048E-2</v>
      </c>
      <c r="I20" s="3">
        <f t="shared" si="1"/>
        <v>-3.6773428232502965E-2</v>
      </c>
      <c r="J20" s="3">
        <f t="shared" si="2"/>
        <v>-4.4651162790697675E-2</v>
      </c>
    </row>
    <row r="21" spans="1:10" x14ac:dyDescent="0.25">
      <c r="E21" s="2">
        <f>+SUM(E17:E20)</f>
        <v>10</v>
      </c>
      <c r="F21" s="2">
        <f>+SUM(F17:F20)</f>
        <v>1</v>
      </c>
      <c r="G21" s="2">
        <f>+SUM(G17:G20)</f>
        <v>-21</v>
      </c>
      <c r="H21" s="3">
        <f t="shared" si="0"/>
        <v>1.6025641025641024E-2</v>
      </c>
      <c r="I21" s="3">
        <f t="shared" si="1"/>
        <v>1.1862396204033216E-3</v>
      </c>
      <c r="J21" s="3">
        <f t="shared" si="2"/>
        <v>-1.9534883720930232E-2</v>
      </c>
    </row>
    <row r="22" spans="1:10" x14ac:dyDescent="0.25">
      <c r="A22" t="s">
        <v>14</v>
      </c>
      <c r="E22" s="2">
        <f>+E14-E15+E21</f>
        <v>173</v>
      </c>
      <c r="F22" s="2">
        <f>+F14-F15+F21</f>
        <v>265</v>
      </c>
      <c r="G22" s="2">
        <f>+G14-G15+G21</f>
        <v>229</v>
      </c>
      <c r="H22" s="3">
        <f t="shared" si="0"/>
        <v>0.27724358974358976</v>
      </c>
      <c r="I22" s="3">
        <f t="shared" si="1"/>
        <v>0.31435349940688018</v>
      </c>
      <c r="J22" s="3">
        <f t="shared" si="2"/>
        <v>0.21302325581395348</v>
      </c>
    </row>
    <row r="23" spans="1:10" x14ac:dyDescent="0.25">
      <c r="B23" t="s">
        <v>15</v>
      </c>
      <c r="E23" s="2">
        <v>22</v>
      </c>
      <c r="F23" s="2">
        <v>25</v>
      </c>
      <c r="G23" s="2">
        <v>22</v>
      </c>
      <c r="H23" s="3">
        <f t="shared" si="0"/>
        <v>3.5256410256410256E-2</v>
      </c>
      <c r="I23" s="3">
        <f t="shared" si="1"/>
        <v>2.9655990510083038E-2</v>
      </c>
      <c r="J23" s="3">
        <f t="shared" si="2"/>
        <v>2.0465116279069766E-2</v>
      </c>
    </row>
    <row r="24" spans="1:10" x14ac:dyDescent="0.25">
      <c r="A24" t="s">
        <v>16</v>
      </c>
      <c r="E24" s="2">
        <f>+E22-E23</f>
        <v>151</v>
      </c>
      <c r="F24" s="2">
        <f t="shared" ref="F24:G24" si="3">+F22-F23</f>
        <v>240</v>
      </c>
      <c r="G24" s="2">
        <f t="shared" si="3"/>
        <v>207</v>
      </c>
      <c r="H24" s="3">
        <f t="shared" si="0"/>
        <v>0.24198717948717949</v>
      </c>
      <c r="I24" s="3">
        <f t="shared" si="1"/>
        <v>0.28469750889679718</v>
      </c>
      <c r="J24" s="3">
        <f t="shared" si="2"/>
        <v>0.19255813953488371</v>
      </c>
    </row>
    <row r="25" spans="1:10" x14ac:dyDescent="0.25">
      <c r="A25" t="s">
        <v>17</v>
      </c>
      <c r="E25" s="2"/>
      <c r="F25" s="2"/>
      <c r="G25" s="2"/>
      <c r="H25" s="3"/>
      <c r="I25" s="3"/>
      <c r="J25" s="3"/>
    </row>
    <row r="26" spans="1:10" x14ac:dyDescent="0.25">
      <c r="A26" t="s">
        <v>18</v>
      </c>
      <c r="E26" s="2"/>
      <c r="F26" s="2"/>
      <c r="G26" s="2"/>
      <c r="H26" s="3"/>
      <c r="I26" s="3"/>
      <c r="J26" s="3"/>
    </row>
    <row r="27" spans="1:10" x14ac:dyDescent="0.25">
      <c r="E27" s="2"/>
      <c r="F27" s="2"/>
      <c r="G27" s="2"/>
      <c r="H27" s="3"/>
      <c r="I27" s="3"/>
      <c r="J27" s="3"/>
    </row>
    <row r="28" spans="1:10" x14ac:dyDescent="0.25">
      <c r="A28" s="1" t="s">
        <v>19</v>
      </c>
      <c r="B28" s="1"/>
      <c r="C28" s="1"/>
      <c r="D28" s="1"/>
      <c r="E28" s="4"/>
      <c r="F28" s="4"/>
      <c r="G28" s="4"/>
      <c r="H28" s="1"/>
      <c r="I28" s="1"/>
      <c r="J28" s="1"/>
    </row>
    <row r="29" spans="1:10" x14ac:dyDescent="0.25">
      <c r="A29" t="s">
        <v>20</v>
      </c>
      <c r="D29">
        <v>9</v>
      </c>
      <c r="E29" s="2">
        <v>13</v>
      </c>
      <c r="F29" s="2">
        <v>19</v>
      </c>
      <c r="G29" s="2">
        <v>24</v>
      </c>
    </row>
    <row r="30" spans="1:10" x14ac:dyDescent="0.25">
      <c r="A30" t="s">
        <v>21</v>
      </c>
      <c r="E30" s="2">
        <f>+E8/E29</f>
        <v>48</v>
      </c>
      <c r="F30" s="2">
        <f>+F8/F29</f>
        <v>44.368421052631582</v>
      </c>
      <c r="G30" s="2">
        <f>+G8/G29</f>
        <v>44.791666666666664</v>
      </c>
    </row>
    <row r="31" spans="1:10" x14ac:dyDescent="0.25">
      <c r="A31" t="s">
        <v>22</v>
      </c>
      <c r="E31" s="2"/>
      <c r="F31" s="2"/>
      <c r="G31" s="2"/>
    </row>
    <row r="32" spans="1:10" x14ac:dyDescent="0.25">
      <c r="A32" t="s">
        <v>23</v>
      </c>
      <c r="E32" s="2"/>
      <c r="F32" s="2"/>
      <c r="G32" s="2"/>
    </row>
    <row r="33" spans="1:7" x14ac:dyDescent="0.25">
      <c r="A33" t="s">
        <v>24</v>
      </c>
      <c r="E33" s="2"/>
      <c r="F33" s="2"/>
      <c r="G33" s="2"/>
    </row>
    <row r="34" spans="1:7" x14ac:dyDescent="0.25">
      <c r="A34" t="s">
        <v>25</v>
      </c>
      <c r="E34" s="5">
        <f>+E12/E29</f>
        <v>30.923076923076923</v>
      </c>
      <c r="F34" s="5">
        <f t="shared" ref="F34:G34" si="4">+F12/F29</f>
        <v>26.421052631578949</v>
      </c>
      <c r="G34" s="5">
        <f t="shared" si="4"/>
        <v>30.083333333333332</v>
      </c>
    </row>
    <row r="35" spans="1:7" x14ac:dyDescent="0.25">
      <c r="A35" t="s">
        <v>26</v>
      </c>
      <c r="E35" s="5"/>
      <c r="F35" s="5"/>
      <c r="G35" s="5"/>
    </row>
    <row r="36" spans="1:7" x14ac:dyDescent="0.25">
      <c r="A36" t="s">
        <v>27</v>
      </c>
      <c r="E36" s="5"/>
      <c r="F36" s="5"/>
      <c r="G36" s="5">
        <v>0.33</v>
      </c>
    </row>
    <row r="37" spans="1:7" x14ac:dyDescent="0.25">
      <c r="A37" t="s">
        <v>28</v>
      </c>
      <c r="E37" s="5">
        <f>+E62/(E29-D29)</f>
        <v>-93.25</v>
      </c>
      <c r="F37" s="5">
        <f t="shared" ref="F37:G37" si="5">+F62/(F29-E29)</f>
        <v>-78.333333333333329</v>
      </c>
      <c r="G37" s="5">
        <f t="shared" si="5"/>
        <v>-66.400000000000006</v>
      </c>
    </row>
    <row r="38" spans="1:7" x14ac:dyDescent="0.25">
      <c r="E38" s="5"/>
      <c r="F38" s="5"/>
      <c r="G38" s="5"/>
    </row>
    <row r="39" spans="1:7" x14ac:dyDescent="0.25">
      <c r="E39" s="5"/>
      <c r="F39" s="5"/>
      <c r="G39" s="5"/>
    </row>
    <row r="40" spans="1:7" x14ac:dyDescent="0.25">
      <c r="E40" s="2"/>
      <c r="F40" s="2"/>
      <c r="G40" s="2"/>
    </row>
    <row r="41" spans="1:7" x14ac:dyDescent="0.25">
      <c r="A41" s="1" t="s">
        <v>29</v>
      </c>
      <c r="E41" s="2"/>
      <c r="F41" s="2"/>
      <c r="G41" s="2"/>
    </row>
    <row r="42" spans="1:7" x14ac:dyDescent="0.25">
      <c r="E42" s="2"/>
      <c r="F42" s="2"/>
      <c r="G42" s="2"/>
    </row>
    <row r="43" spans="1:7" x14ac:dyDescent="0.25">
      <c r="A43" t="s">
        <v>30</v>
      </c>
      <c r="E43" s="2"/>
      <c r="F43" s="2">
        <v>1352</v>
      </c>
      <c r="G43" s="2">
        <v>1621</v>
      </c>
    </row>
    <row r="44" spans="1:7" x14ac:dyDescent="0.25">
      <c r="A44" t="s">
        <v>31</v>
      </c>
      <c r="E44" s="2"/>
      <c r="F44" s="2"/>
      <c r="G44" s="2"/>
    </row>
    <row r="45" spans="1:7" x14ac:dyDescent="0.25">
      <c r="B45" t="s">
        <v>32</v>
      </c>
      <c r="E45" s="2"/>
      <c r="F45" s="2">
        <v>1060</v>
      </c>
      <c r="G45" s="2">
        <v>1257</v>
      </c>
    </row>
    <row r="46" spans="1:7" x14ac:dyDescent="0.25">
      <c r="B46" t="s">
        <v>33</v>
      </c>
      <c r="E46" s="2"/>
      <c r="F46" s="2">
        <v>54</v>
      </c>
      <c r="G46" s="2">
        <v>61</v>
      </c>
    </row>
    <row r="47" spans="1:7" x14ac:dyDescent="0.25">
      <c r="E47" s="2"/>
      <c r="F47" s="2">
        <f>+F43+F45+F46</f>
        <v>2466</v>
      </c>
      <c r="G47" s="2">
        <f>+G43+G45+G46</f>
        <v>2939</v>
      </c>
    </row>
    <row r="48" spans="1:7" x14ac:dyDescent="0.25">
      <c r="E48" s="2"/>
      <c r="F48" s="2"/>
      <c r="G48" s="2"/>
    </row>
    <row r="49" spans="1:7" x14ac:dyDescent="0.25">
      <c r="A49" t="s">
        <v>34</v>
      </c>
      <c r="E49" s="2"/>
      <c r="F49" s="2"/>
      <c r="G49" s="2"/>
    </row>
    <row r="50" spans="1:7" x14ac:dyDescent="0.25">
      <c r="B50" t="s">
        <v>35</v>
      </c>
      <c r="E50" s="2"/>
      <c r="F50" s="2">
        <v>312</v>
      </c>
      <c r="G50" s="2">
        <v>405</v>
      </c>
    </row>
    <row r="51" spans="1:7" x14ac:dyDescent="0.25">
      <c r="B51" t="s">
        <v>36</v>
      </c>
      <c r="E51" s="2"/>
      <c r="F51" s="2">
        <v>65</v>
      </c>
      <c r="G51" s="2">
        <v>81</v>
      </c>
    </row>
    <row r="52" spans="1:7" x14ac:dyDescent="0.25">
      <c r="A52" t="s">
        <v>37</v>
      </c>
      <c r="E52" s="2"/>
      <c r="F52" s="2">
        <v>73</v>
      </c>
      <c r="G52" s="2">
        <v>124</v>
      </c>
    </row>
    <row r="53" spans="1:7" x14ac:dyDescent="0.25">
      <c r="A53" t="s">
        <v>38</v>
      </c>
      <c r="E53" s="2"/>
      <c r="F53" s="2">
        <v>774</v>
      </c>
      <c r="G53" s="2">
        <v>873</v>
      </c>
    </row>
    <row r="54" spans="1:7" x14ac:dyDescent="0.25">
      <c r="E54" s="2"/>
      <c r="F54" s="2"/>
      <c r="G54" s="2"/>
    </row>
    <row r="55" spans="1:7" x14ac:dyDescent="0.25">
      <c r="A55" t="s">
        <v>39</v>
      </c>
      <c r="E55" s="2"/>
      <c r="F55" s="2">
        <v>1242</v>
      </c>
      <c r="G55" s="2">
        <v>1455</v>
      </c>
    </row>
    <row r="56" spans="1:7" x14ac:dyDescent="0.25">
      <c r="E56" s="2"/>
      <c r="F56" s="2">
        <f>+SUM(F49:F55)</f>
        <v>2466</v>
      </c>
      <c r="G56" s="2">
        <f>+SUM(G49:G55)</f>
        <v>2938</v>
      </c>
    </row>
    <row r="57" spans="1:7" x14ac:dyDescent="0.25">
      <c r="E57" s="2"/>
      <c r="F57" s="2"/>
      <c r="G57" s="2"/>
    </row>
    <row r="58" spans="1:7" x14ac:dyDescent="0.25">
      <c r="A58" s="1" t="s">
        <v>40</v>
      </c>
      <c r="E58" s="2"/>
      <c r="F58" s="2"/>
      <c r="G58" s="2"/>
    </row>
    <row r="59" spans="1:7" x14ac:dyDescent="0.25">
      <c r="E59" s="2"/>
      <c r="F59" s="2"/>
      <c r="G59" s="2"/>
    </row>
    <row r="60" spans="1:7" x14ac:dyDescent="0.25">
      <c r="A60" t="s">
        <v>41</v>
      </c>
      <c r="E60" s="2">
        <v>309</v>
      </c>
      <c r="F60" s="2">
        <v>351</v>
      </c>
      <c r="G60" s="2">
        <v>462</v>
      </c>
    </row>
    <row r="61" spans="1:7" x14ac:dyDescent="0.25">
      <c r="A61" t="s">
        <v>42</v>
      </c>
      <c r="E61" s="2"/>
      <c r="F61" s="2"/>
      <c r="G61" s="2"/>
    </row>
    <row r="62" spans="1:7" x14ac:dyDescent="0.25">
      <c r="B62" t="s">
        <v>43</v>
      </c>
      <c r="E62" s="2">
        <v>-373</v>
      </c>
      <c r="F62" s="2">
        <v>-470</v>
      </c>
      <c r="G62" s="2">
        <v>-332</v>
      </c>
    </row>
    <row r="63" spans="1:7" x14ac:dyDescent="0.25">
      <c r="B63" t="s">
        <v>44</v>
      </c>
      <c r="E63" s="2"/>
      <c r="F63" s="2"/>
      <c r="G63" s="2">
        <v>-33</v>
      </c>
    </row>
    <row r="64" spans="1:7" x14ac:dyDescent="0.25">
      <c r="A64" t="s">
        <v>45</v>
      </c>
      <c r="E64" s="2">
        <v>330</v>
      </c>
      <c r="F64" s="2">
        <v>287</v>
      </c>
      <c r="G64" s="2">
        <v>123</v>
      </c>
    </row>
    <row r="65" spans="1:7" x14ac:dyDescent="0.25">
      <c r="A65" t="s">
        <v>46</v>
      </c>
      <c r="E65" s="2">
        <v>5</v>
      </c>
      <c r="F65" s="2">
        <v>-3</v>
      </c>
      <c r="G65" s="2">
        <v>-22</v>
      </c>
    </row>
    <row r="66" spans="1:7" x14ac:dyDescent="0.25">
      <c r="A66" t="s">
        <v>47</v>
      </c>
      <c r="E66" s="2">
        <v>-251</v>
      </c>
      <c r="F66" s="2">
        <v>-166</v>
      </c>
      <c r="G66" s="2">
        <v>-249</v>
      </c>
    </row>
    <row r="67" spans="1:7" x14ac:dyDescent="0.25">
      <c r="A67" t="s">
        <v>48</v>
      </c>
      <c r="E67" s="2">
        <f>+SUM(E60:E66)</f>
        <v>20</v>
      </c>
      <c r="F67" s="2">
        <f t="shared" ref="F67:G67" si="6">+SUM(F60:F66)</f>
        <v>-1</v>
      </c>
      <c r="G67" s="2">
        <f t="shared" si="6"/>
        <v>-51</v>
      </c>
    </row>
    <row r="68" spans="1:7" x14ac:dyDescent="0.25">
      <c r="E68" s="2"/>
      <c r="F68" s="2"/>
      <c r="G68" s="2"/>
    </row>
    <row r="70" spans="1:7" x14ac:dyDescent="0.25">
      <c r="A70" s="1" t="s">
        <v>49</v>
      </c>
    </row>
    <row r="72" spans="1:7" x14ac:dyDescent="0.25">
      <c r="A72" t="s">
        <v>50</v>
      </c>
      <c r="E72" s="6">
        <f>+(+E24+E21*(E23/E22))/E8</f>
        <v>0.24402512227656736</v>
      </c>
      <c r="F72" s="7">
        <f>+(+F24+F21*(1-(F23/F22)))/F8</f>
        <v>0.28577183911904919</v>
      </c>
      <c r="G72" s="7">
        <f>+(+G24-G21*(1-(G23/G22)))/G8</f>
        <v>0.21021630953589926</v>
      </c>
    </row>
    <row r="73" spans="1:7" x14ac:dyDescent="0.25">
      <c r="A73" t="s">
        <v>51</v>
      </c>
      <c r="F73" s="7">
        <f>+F8/(F43+F46-F50)</f>
        <v>0.7705667276051188</v>
      </c>
      <c r="G73" s="7">
        <f>+G8/(G43+G46-G50)</f>
        <v>0.84181675802662492</v>
      </c>
    </row>
    <row r="74" spans="1:7" x14ac:dyDescent="0.25">
      <c r="A74" t="s">
        <v>52</v>
      </c>
      <c r="F74" s="7">
        <f>+F72*F73</f>
        <v>0.2202062709116622</v>
      </c>
      <c r="G74" s="7">
        <f>+G72*G73</f>
        <v>0.17696361217783219</v>
      </c>
    </row>
    <row r="75" spans="1:7" x14ac:dyDescent="0.25">
      <c r="A75" t="s">
        <v>53</v>
      </c>
      <c r="F75" s="7">
        <f>+F74-(F19+F20)/(F51+F53-F45)</f>
        <v>0.2202062709116622</v>
      </c>
      <c r="G75" s="7">
        <f>+G74+(G19+G20)/(G51+G53-G45)</f>
        <v>0.25617153296991141</v>
      </c>
    </row>
    <row r="76" spans="1:7" x14ac:dyDescent="0.25">
      <c r="A76" t="s">
        <v>54</v>
      </c>
      <c r="F76" s="7">
        <f>+(-F45+F51+F53)/F55</f>
        <v>-0.177938808373591</v>
      </c>
      <c r="G76" s="7">
        <f>+(-G45+G51+G53)/G55</f>
        <v>-0.20824742268041238</v>
      </c>
    </row>
    <row r="77" spans="1:7" x14ac:dyDescent="0.25">
      <c r="A77" t="s">
        <v>55</v>
      </c>
      <c r="F77" s="7">
        <f>+F75*F76</f>
        <v>-3.9183241442413322E-2</v>
      </c>
      <c r="G77" s="7">
        <f>+G75*G76</f>
        <v>-5.3347061505074338E-2</v>
      </c>
    </row>
    <row r="78" spans="1:7" x14ac:dyDescent="0.25">
      <c r="A78" t="s">
        <v>56</v>
      </c>
      <c r="F78" s="7">
        <f>+F74+F77</f>
        <v>0.18102302946924886</v>
      </c>
      <c r="G78" s="7">
        <f>+G74+G77</f>
        <v>0.12361655067275784</v>
      </c>
    </row>
    <row r="80" spans="1:7" x14ac:dyDescent="0.25">
      <c r="A80" t="s">
        <v>57</v>
      </c>
    </row>
    <row r="81" spans="1:7" x14ac:dyDescent="0.25">
      <c r="A81" t="s">
        <v>58</v>
      </c>
      <c r="E81" s="6">
        <f>+E24/E8</f>
        <v>0.24198717948717949</v>
      </c>
      <c r="F81" s="7">
        <f t="shared" ref="F81:G81" si="7">+F24/F8</f>
        <v>0.28469750889679718</v>
      </c>
      <c r="G81" s="7">
        <f t="shared" si="7"/>
        <v>0.19255813953488371</v>
      </c>
    </row>
    <row r="82" spans="1:7" x14ac:dyDescent="0.25">
      <c r="A82" t="s">
        <v>59</v>
      </c>
      <c r="F82" s="7">
        <f>+F8/F47</f>
        <v>0.34184914841849151</v>
      </c>
      <c r="G82" s="7">
        <f>+G8/G47</f>
        <v>0.36577067029601906</v>
      </c>
    </row>
    <row r="83" spans="1:7" x14ac:dyDescent="0.25">
      <c r="A83" t="s">
        <v>60</v>
      </c>
      <c r="F83" s="7">
        <f>+F82*F81</f>
        <v>9.732360097323603E-2</v>
      </c>
      <c r="G83" s="7">
        <f>+G82*G81</f>
        <v>7.0432119768628787E-2</v>
      </c>
    </row>
    <row r="84" spans="1:7" x14ac:dyDescent="0.25">
      <c r="A84" t="s">
        <v>61</v>
      </c>
      <c r="F84" s="7">
        <f>+F56/F55</f>
        <v>1.9855072463768115</v>
      </c>
      <c r="G84" s="7">
        <f>+G56/G55</f>
        <v>2.0192439862542955</v>
      </c>
    </row>
    <row r="85" spans="1:7" x14ac:dyDescent="0.25">
      <c r="A85" t="s">
        <v>56</v>
      </c>
      <c r="F85" s="7">
        <f>+F83*F84</f>
        <v>0.19323671497584544</v>
      </c>
      <c r="G85" s="7">
        <f>+G83*G84</f>
        <v>0.14221963428194595</v>
      </c>
    </row>
    <row r="86" spans="1:7" x14ac:dyDescent="0.25">
      <c r="F86" s="7"/>
      <c r="G86" s="7">
        <v>0.1422680412371134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tabSelected="1" workbookViewId="0">
      <selection activeCell="B11" sqref="B11"/>
    </sheetView>
  </sheetViews>
  <sheetFormatPr defaultRowHeight="15" x14ac:dyDescent="0.25"/>
  <cols>
    <col min="2" max="2" width="32" bestFit="1" customWidth="1"/>
    <col min="8" max="8" width="15" bestFit="1" customWidth="1"/>
    <col min="9" max="9" width="33.28515625" style="10" bestFit="1" customWidth="1"/>
    <col min="10" max="10" width="12.5703125" style="11" bestFit="1" customWidth="1"/>
    <col min="11" max="11" width="11.5703125" bestFit="1" customWidth="1"/>
  </cols>
  <sheetData>
    <row r="2" spans="1:12" x14ac:dyDescent="0.25">
      <c r="A2" t="s">
        <v>68</v>
      </c>
      <c r="B2" t="s">
        <v>62</v>
      </c>
      <c r="C2" s="9">
        <f>C3/(C3+C4)*(1-C5)*C6+C4/(C3+C4)*C7</f>
        <v>0.11867523714745105</v>
      </c>
      <c r="H2" t="s">
        <v>69</v>
      </c>
      <c r="I2" s="10" t="s">
        <v>70</v>
      </c>
      <c r="J2" s="11">
        <f>Sheet1!G43+Sheet1!G46-Sheet1!G50</f>
        <v>1277</v>
      </c>
    </row>
    <row r="3" spans="1:12" x14ac:dyDescent="0.25">
      <c r="B3" t="s">
        <v>63</v>
      </c>
      <c r="C3">
        <f>Sheet1!G53+Sheet1!G51</f>
        <v>954</v>
      </c>
      <c r="I3" s="10" t="s">
        <v>71</v>
      </c>
      <c r="J3" s="11">
        <f>ABS(Sheet1!G62+Sheet1!G63)</f>
        <v>365</v>
      </c>
    </row>
    <row r="4" spans="1:12" x14ac:dyDescent="0.25">
      <c r="B4" t="s">
        <v>64</v>
      </c>
      <c r="C4">
        <f>Sheet1!G55</f>
        <v>1455</v>
      </c>
      <c r="I4" s="10" t="s">
        <v>72</v>
      </c>
      <c r="J4" s="11">
        <v>0</v>
      </c>
    </row>
    <row r="5" spans="1:12" x14ac:dyDescent="0.25">
      <c r="B5" t="s">
        <v>65</v>
      </c>
      <c r="C5" s="8">
        <f>Sheet1!G23/Sheet1!G22</f>
        <v>9.606986899563319E-2</v>
      </c>
      <c r="I5" s="10" t="s">
        <v>75</v>
      </c>
      <c r="J5" s="11">
        <f>J16</f>
        <v>9.5963970284939393</v>
      </c>
    </row>
    <row r="6" spans="1:12" x14ac:dyDescent="0.25">
      <c r="B6" t="s">
        <v>66</v>
      </c>
      <c r="C6" s="8">
        <f>ABS(Sheet1!G20)/Valuation!C3</f>
        <v>5.0314465408805034E-2</v>
      </c>
      <c r="I6" s="10" t="s">
        <v>73</v>
      </c>
      <c r="J6" s="11">
        <f>-Sheet1!G53+Sheet1!G51</f>
        <v>-792</v>
      </c>
    </row>
    <row r="7" spans="1:12" x14ac:dyDescent="0.25">
      <c r="B7" t="s">
        <v>67</v>
      </c>
      <c r="C7" s="8">
        <f>Sheet1!G24/Sheet1!F55</f>
        <v>0.16666666666666666</v>
      </c>
      <c r="I7" s="30" t="s">
        <v>74</v>
      </c>
      <c r="J7" s="31">
        <v>0</v>
      </c>
    </row>
    <row r="8" spans="1:12" x14ac:dyDescent="0.25">
      <c r="I8" s="32" t="s">
        <v>69</v>
      </c>
      <c r="J8" s="33">
        <f>SUM(J2:J7)</f>
        <v>859.59639702849404</v>
      </c>
      <c r="K8" s="12"/>
    </row>
    <row r="9" spans="1:12" x14ac:dyDescent="0.25">
      <c r="I9" s="10" t="s">
        <v>77</v>
      </c>
    </row>
    <row r="10" spans="1:12" x14ac:dyDescent="0.25">
      <c r="I10" s="10" t="s">
        <v>78</v>
      </c>
      <c r="J10" s="2">
        <v>757447</v>
      </c>
    </row>
    <row r="11" spans="1:12" x14ac:dyDescent="0.25">
      <c r="I11" s="10" t="s">
        <v>79</v>
      </c>
      <c r="J11" s="2">
        <v>759300</v>
      </c>
    </row>
    <row r="15" spans="1:12" x14ac:dyDescent="0.25">
      <c r="I15" s="10" t="s">
        <v>76</v>
      </c>
      <c r="J15" s="11">
        <f>ABS(Sheet1!E20*(Sheet1!E23/Sheet1!E22))/(1+Valuation!C6)</f>
        <v>2.4215153508012879</v>
      </c>
      <c r="K15" s="11">
        <f>ABS(Sheet1!F20*(Sheet1!F23/Sheet1!F22))/(1+Valuation!C6)</f>
        <v>2.784431137724551</v>
      </c>
      <c r="L15" s="11">
        <f>ABS(Sheet1!G20*(Sheet1!G23/Sheet1!G22))/(1+Valuation!C6)</f>
        <v>4.3904505399680991</v>
      </c>
    </row>
    <row r="16" spans="1:12" x14ac:dyDescent="0.25">
      <c r="J16" s="11">
        <f>SUM(J15:L15)</f>
        <v>9.5963970284939393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5"/>
  <sheetViews>
    <sheetView workbookViewId="0">
      <selection activeCell="B18" sqref="B18"/>
    </sheetView>
  </sheetViews>
  <sheetFormatPr defaultRowHeight="15" x14ac:dyDescent="0.25"/>
  <cols>
    <col min="2" max="2" width="22.28515625" customWidth="1"/>
    <col min="3" max="3" width="16.28515625" style="13" bestFit="1" customWidth="1"/>
    <col min="4" max="4" width="15.85546875" customWidth="1"/>
    <col min="5" max="5" width="17.7109375" customWidth="1"/>
  </cols>
  <sheetData>
    <row r="3" spans="2:5" x14ac:dyDescent="0.25">
      <c r="B3" s="15"/>
      <c r="C3" s="29" t="s">
        <v>83</v>
      </c>
      <c r="D3" s="28" t="s">
        <v>82</v>
      </c>
      <c r="E3" s="28" t="s">
        <v>84</v>
      </c>
    </row>
    <row r="4" spans="2:5" x14ac:dyDescent="0.25">
      <c r="B4" s="28" t="s">
        <v>81</v>
      </c>
      <c r="C4" s="17">
        <v>924566000</v>
      </c>
      <c r="D4" s="17">
        <f>D9*D8</f>
        <v>1089093599.9999998</v>
      </c>
      <c r="E4" s="17">
        <f>C4+D4</f>
        <v>2013659599.9999998</v>
      </c>
    </row>
    <row r="5" spans="2:5" x14ac:dyDescent="0.25">
      <c r="B5" s="28" t="s">
        <v>80</v>
      </c>
      <c r="C5" s="16">
        <v>91</v>
      </c>
      <c r="D5" s="15">
        <v>140</v>
      </c>
      <c r="E5" s="18">
        <f>C5+D5</f>
        <v>231</v>
      </c>
    </row>
    <row r="6" spans="2:5" x14ac:dyDescent="0.25">
      <c r="B6" s="28" t="s">
        <v>88</v>
      </c>
      <c r="C6" s="16">
        <v>189</v>
      </c>
      <c r="D6" s="15">
        <v>189</v>
      </c>
      <c r="E6" s="18"/>
    </row>
    <row r="7" spans="2:5" x14ac:dyDescent="0.25">
      <c r="B7" s="28" t="s">
        <v>85</v>
      </c>
      <c r="C7" s="19">
        <v>0.8</v>
      </c>
      <c r="D7" s="20">
        <v>0.7</v>
      </c>
      <c r="E7" s="21">
        <f>C7*C5/E5+D7*D5/E5</f>
        <v>0.73939393939393938</v>
      </c>
    </row>
    <row r="8" spans="2:5" x14ac:dyDescent="0.25">
      <c r="B8" s="28" t="s">
        <v>86</v>
      </c>
      <c r="C8" s="17">
        <v>49</v>
      </c>
      <c r="D8" s="22">
        <v>49</v>
      </c>
      <c r="E8" s="23">
        <f>AVERAGE(C8,D8)</f>
        <v>49</v>
      </c>
    </row>
    <row r="9" spans="2:5" x14ac:dyDescent="0.25">
      <c r="B9" s="28" t="s">
        <v>89</v>
      </c>
      <c r="C9" s="24">
        <f>C4/C8</f>
        <v>18868693.877551019</v>
      </c>
      <c r="D9" s="24">
        <f>D10*D5</f>
        <v>22226399.999999996</v>
      </c>
      <c r="E9" s="25">
        <f>C9+D9</f>
        <v>41095093.877551019</v>
      </c>
    </row>
    <row r="10" spans="2:5" x14ac:dyDescent="0.25">
      <c r="B10" s="28" t="s">
        <v>90</v>
      </c>
      <c r="C10" s="24">
        <f>C9/C5</f>
        <v>207348.28436869252</v>
      </c>
      <c r="D10" s="24">
        <f>D12*D11</f>
        <v>158759.99999999997</v>
      </c>
      <c r="E10" s="15"/>
    </row>
    <row r="11" spans="2:5" x14ac:dyDescent="0.25">
      <c r="B11" s="28" t="s">
        <v>87</v>
      </c>
      <c r="C11" s="24">
        <f>C6*C7</f>
        <v>151.20000000000002</v>
      </c>
      <c r="D11" s="24">
        <f>D6*D7</f>
        <v>132.29999999999998</v>
      </c>
      <c r="E11" s="15"/>
    </row>
    <row r="12" spans="2:5" x14ac:dyDescent="0.25">
      <c r="B12" s="28" t="s">
        <v>91</v>
      </c>
      <c r="C12" s="24">
        <f>C10/151</f>
        <v>1373.1674461502816</v>
      </c>
      <c r="D12" s="26">
        <v>1200</v>
      </c>
      <c r="E12" s="15"/>
    </row>
    <row r="13" spans="2:5" x14ac:dyDescent="0.25">
      <c r="B13" s="28" t="s">
        <v>92</v>
      </c>
      <c r="C13" s="17">
        <f>C4/C12/C5</f>
        <v>7399</v>
      </c>
      <c r="D13" s="27">
        <f>D11*D8</f>
        <v>6482.6999999999989</v>
      </c>
      <c r="E13" s="15"/>
    </row>
    <row r="14" spans="2:5" x14ac:dyDescent="0.25">
      <c r="D14" s="14"/>
    </row>
    <row r="15" spans="2:5" x14ac:dyDescent="0.25">
      <c r="C15" s="14"/>
      <c r="D15" s="14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Valuation</vt:lpstr>
      <vt:lpstr>sales forecast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mmagnan</dc:creator>
  <cp:lastModifiedBy>Zeben</cp:lastModifiedBy>
  <dcterms:created xsi:type="dcterms:W3CDTF">2012-10-24T22:06:33Z</dcterms:created>
  <dcterms:modified xsi:type="dcterms:W3CDTF">2015-10-25T22:23:01Z</dcterms:modified>
</cp:coreProperties>
</file>