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er\Desktop\"/>
    </mc:Choice>
  </mc:AlternateContent>
  <bookViews>
    <workbookView xWindow="0" yWindow="0" windowWidth="14520" windowHeight="16020" activeTab="2"/>
  </bookViews>
  <sheets>
    <sheet name="OlamCostofCapital" sheetId="1" r:id="rId1"/>
    <sheet name="Results" sheetId="2" r:id="rId2"/>
    <sheet name="WIP" sheetId="4" r:id="rId3"/>
  </sheets>
  <calcPr calcId="152511"/>
</workbook>
</file>

<file path=xl/calcChain.xml><?xml version="1.0" encoding="utf-8"?>
<calcChain xmlns="http://schemas.openxmlformats.org/spreadsheetml/2006/main">
  <c r="J124" i="4" l="1"/>
  <c r="J122" i="4"/>
  <c r="D30" i="1"/>
  <c r="D17" i="1"/>
  <c r="D19" i="1"/>
  <c r="D20" i="1"/>
  <c r="D21" i="1"/>
  <c r="D22" i="1"/>
  <c r="D23" i="1"/>
  <c r="D24" i="1"/>
  <c r="D25" i="1"/>
  <c r="D26" i="1"/>
  <c r="D27" i="1"/>
  <c r="D28" i="1"/>
  <c r="D29" i="1"/>
  <c r="D18" i="1"/>
  <c r="J119" i="4"/>
  <c r="N105" i="4"/>
  <c r="O105" i="4"/>
  <c r="P105" i="4"/>
  <c r="Q105" i="4"/>
  <c r="R105" i="4"/>
  <c r="S105" i="4"/>
  <c r="K41" i="4"/>
  <c r="L41" i="4" s="1"/>
  <c r="J41" i="4"/>
  <c r="J98" i="4" s="1"/>
  <c r="J103" i="4" s="1"/>
  <c r="X15" i="4"/>
  <c r="Y15" i="4"/>
  <c r="W15" i="4"/>
  <c r="J43" i="4" s="1"/>
  <c r="K43" i="4" s="1"/>
  <c r="L43" i="4" s="1"/>
  <c r="X14" i="4"/>
  <c r="Y14" i="4"/>
  <c r="W14" i="4"/>
  <c r="J40" i="4" s="1"/>
  <c r="K40" i="4" s="1"/>
  <c r="L40" i="4" s="1"/>
  <c r="M17" i="4"/>
  <c r="M45" i="4" s="1"/>
  <c r="M16" i="4"/>
  <c r="N5" i="4"/>
  <c r="N7" i="4"/>
  <c r="O7" i="4" s="1"/>
  <c r="P7" i="4" s="1"/>
  <c r="Q7" i="4" s="1"/>
  <c r="R7" i="4" s="1"/>
  <c r="S7" i="4" s="1"/>
  <c r="M6" i="4"/>
  <c r="N6" i="4" s="1"/>
  <c r="O6" i="4" s="1"/>
  <c r="P6" i="4" s="1"/>
  <c r="Q6" i="4" s="1"/>
  <c r="R6" i="4" s="1"/>
  <c r="S6" i="4" s="1"/>
  <c r="M7" i="4"/>
  <c r="M8" i="4"/>
  <c r="N8" i="4" s="1"/>
  <c r="O8" i="4" s="1"/>
  <c r="P8" i="4" s="1"/>
  <c r="Q8" i="4" s="1"/>
  <c r="R8" i="4" s="1"/>
  <c r="S8" i="4" s="1"/>
  <c r="M9" i="4"/>
  <c r="N9" i="4" s="1"/>
  <c r="O9" i="4" s="1"/>
  <c r="P9" i="4" s="1"/>
  <c r="Q9" i="4" s="1"/>
  <c r="R9" i="4" s="1"/>
  <c r="S9" i="4" s="1"/>
  <c r="M5" i="4"/>
  <c r="L91" i="4"/>
  <c r="J92" i="4"/>
  <c r="K92" i="4"/>
  <c r="L92" i="4"/>
  <c r="J94" i="4"/>
  <c r="K94" i="4"/>
  <c r="L94" i="4"/>
  <c r="J95" i="4"/>
  <c r="K95" i="4"/>
  <c r="L95" i="4"/>
  <c r="J107" i="4"/>
  <c r="K107" i="4"/>
  <c r="L107" i="4"/>
  <c r="F103" i="4"/>
  <c r="G103" i="4"/>
  <c r="H103" i="4"/>
  <c r="I103" i="4"/>
  <c r="E103" i="4"/>
  <c r="G98" i="4"/>
  <c r="H98" i="4"/>
  <c r="I98" i="4"/>
  <c r="F98" i="4"/>
  <c r="F107" i="4"/>
  <c r="E107" i="4" s="1"/>
  <c r="E95" i="4"/>
  <c r="F95" i="4"/>
  <c r="G95" i="4"/>
  <c r="H95" i="4"/>
  <c r="I95" i="4"/>
  <c r="F94" i="4"/>
  <c r="G94" i="4"/>
  <c r="H94" i="4"/>
  <c r="I94" i="4"/>
  <c r="E94" i="4"/>
  <c r="E93" i="4"/>
  <c r="E96" i="4" s="1"/>
  <c r="E99" i="4" s="1"/>
  <c r="E100" i="4" s="1"/>
  <c r="F91" i="4"/>
  <c r="F93" i="4" s="1"/>
  <c r="F96" i="4" s="1"/>
  <c r="F99" i="4" s="1"/>
  <c r="F100" i="4" s="1"/>
  <c r="H91" i="4"/>
  <c r="H93" i="4" s="1"/>
  <c r="H96" i="4" s="1"/>
  <c r="F92" i="4"/>
  <c r="G92" i="4"/>
  <c r="H92" i="4"/>
  <c r="I92" i="4"/>
  <c r="E92" i="4"/>
  <c r="E91" i="4"/>
  <c r="G83" i="4"/>
  <c r="H83" i="4"/>
  <c r="G82" i="4"/>
  <c r="H82" i="4"/>
  <c r="F81" i="4"/>
  <c r="H80" i="4"/>
  <c r="E80" i="4"/>
  <c r="F75" i="4"/>
  <c r="F74" i="4"/>
  <c r="G74" i="4"/>
  <c r="H74" i="4"/>
  <c r="I74" i="4"/>
  <c r="E74" i="4"/>
  <c r="E72" i="4"/>
  <c r="F70" i="4"/>
  <c r="H69" i="4"/>
  <c r="I71" i="4"/>
  <c r="F79" i="4"/>
  <c r="G79" i="4"/>
  <c r="H79" i="4"/>
  <c r="I79" i="4"/>
  <c r="E79" i="4"/>
  <c r="I64" i="4"/>
  <c r="I69" i="4" s="1"/>
  <c r="H64" i="4"/>
  <c r="G64" i="4"/>
  <c r="G69" i="4" s="1"/>
  <c r="F64" i="4"/>
  <c r="F69" i="4" s="1"/>
  <c r="E64" i="4"/>
  <c r="E69" i="4" s="1"/>
  <c r="I57" i="4"/>
  <c r="I65" i="4" s="1"/>
  <c r="I55" i="4"/>
  <c r="H55" i="4"/>
  <c r="H57" i="4" s="1"/>
  <c r="G55" i="4"/>
  <c r="I54" i="4"/>
  <c r="H54" i="4"/>
  <c r="G54" i="4"/>
  <c r="F54" i="4"/>
  <c r="F57" i="4" s="1"/>
  <c r="E54" i="4"/>
  <c r="E57" i="4" s="1"/>
  <c r="E76" i="4" s="1"/>
  <c r="I47" i="4"/>
  <c r="H47" i="4"/>
  <c r="G47" i="4"/>
  <c r="F47" i="4"/>
  <c r="E47" i="4"/>
  <c r="I42" i="4"/>
  <c r="I82" i="4" s="1"/>
  <c r="I83" i="4" s="1"/>
  <c r="H42" i="4"/>
  <c r="H107" i="4" s="1"/>
  <c r="G42" i="4"/>
  <c r="G107" i="4" s="1"/>
  <c r="F42" i="4"/>
  <c r="F82" i="4" s="1"/>
  <c r="F83" i="4" s="1"/>
  <c r="E42" i="4"/>
  <c r="G39" i="4"/>
  <c r="F39" i="4"/>
  <c r="F48" i="4" s="1"/>
  <c r="F71" i="4" s="1"/>
  <c r="E39" i="4"/>
  <c r="E48" i="4" s="1"/>
  <c r="E73" i="4" s="1"/>
  <c r="L36" i="4"/>
  <c r="L75" i="4" s="1"/>
  <c r="M105" i="4" s="1"/>
  <c r="K36" i="4"/>
  <c r="K75" i="4" s="1"/>
  <c r="J36" i="4"/>
  <c r="J75" i="4" s="1"/>
  <c r="I36" i="4"/>
  <c r="I39" i="4" s="1"/>
  <c r="I48" i="4" s="1"/>
  <c r="I70" i="4" s="1"/>
  <c r="H36" i="4"/>
  <c r="H39" i="4" s="1"/>
  <c r="G36" i="4"/>
  <c r="F36" i="4"/>
  <c r="E36" i="4"/>
  <c r="L26" i="4"/>
  <c r="K26" i="4"/>
  <c r="J26" i="4"/>
  <c r="I26" i="4"/>
  <c r="H26" i="4"/>
  <c r="G26" i="4"/>
  <c r="F26" i="4"/>
  <c r="E26" i="4"/>
  <c r="I25" i="4"/>
  <c r="H25" i="4"/>
  <c r="G25" i="4"/>
  <c r="F25" i="4"/>
  <c r="E25" i="4"/>
  <c r="L10" i="4"/>
  <c r="L13" i="4" s="1"/>
  <c r="L25" i="4" s="1"/>
  <c r="L27" i="4" s="1"/>
  <c r="L28" i="4" s="1"/>
  <c r="K10" i="4"/>
  <c r="K13" i="4" s="1"/>
  <c r="K25" i="4" s="1"/>
  <c r="K27" i="4" s="1"/>
  <c r="K28" i="4" s="1"/>
  <c r="J10" i="4"/>
  <c r="J13" i="4" s="1"/>
  <c r="J25" i="4" s="1"/>
  <c r="J27" i="4" s="1"/>
  <c r="J28" i="4" s="1"/>
  <c r="I10" i="4"/>
  <c r="I73" i="4" s="1"/>
  <c r="H10" i="4"/>
  <c r="H72" i="4" s="1"/>
  <c r="G10" i="4"/>
  <c r="G72" i="4" s="1"/>
  <c r="F10" i="4"/>
  <c r="F80" i="4" s="1"/>
  <c r="E10" i="4"/>
  <c r="M41" i="4" l="1"/>
  <c r="M98" i="4" s="1"/>
  <c r="M103" i="4" s="1"/>
  <c r="L98" i="4"/>
  <c r="L103" i="4" s="1"/>
  <c r="H65" i="4"/>
  <c r="H76" i="4"/>
  <c r="N10" i="4"/>
  <c r="E110" i="4"/>
  <c r="E114" i="4" s="1"/>
  <c r="N17" i="4"/>
  <c r="N45" i="4"/>
  <c r="K105" i="4"/>
  <c r="J105" i="4"/>
  <c r="I27" i="4"/>
  <c r="I28" i="4" s="1"/>
  <c r="H48" i="4"/>
  <c r="E70" i="4"/>
  <c r="I91" i="4"/>
  <c r="I93" i="4" s="1"/>
  <c r="I96" i="4" s="1"/>
  <c r="F76" i="4"/>
  <c r="M10" i="4"/>
  <c r="G73" i="4"/>
  <c r="E71" i="4"/>
  <c r="F73" i="4"/>
  <c r="I80" i="4"/>
  <c r="G91" i="4"/>
  <c r="G93" i="4" s="1"/>
  <c r="G96" i="4" s="1"/>
  <c r="G99" i="4" s="1"/>
  <c r="G100" i="4" s="1"/>
  <c r="G110" i="4" s="1"/>
  <c r="G114" i="4" s="1"/>
  <c r="L93" i="4"/>
  <c r="L96" i="4" s="1"/>
  <c r="G80" i="4"/>
  <c r="O5" i="4"/>
  <c r="I72" i="4"/>
  <c r="K91" i="4"/>
  <c r="K93" i="4" s="1"/>
  <c r="K96" i="4" s="1"/>
  <c r="I81" i="4"/>
  <c r="I107" i="4"/>
  <c r="J91" i="4"/>
  <c r="J93" i="4" s="1"/>
  <c r="J96" i="4" s="1"/>
  <c r="J99" i="4" s="1"/>
  <c r="J100" i="4" s="1"/>
  <c r="J110" i="4" s="1"/>
  <c r="J114" i="4" s="1"/>
  <c r="G48" i="4"/>
  <c r="F65" i="4"/>
  <c r="E27" i="4"/>
  <c r="E28" i="4" s="1"/>
  <c r="G57" i="4"/>
  <c r="E75" i="4"/>
  <c r="F105" i="4" s="1"/>
  <c r="E105" i="4" s="1"/>
  <c r="H81" i="4"/>
  <c r="F27" i="4"/>
  <c r="F28" i="4" s="1"/>
  <c r="F72" i="4"/>
  <c r="I75" i="4"/>
  <c r="G81" i="4"/>
  <c r="I76" i="4"/>
  <c r="H75" i="4"/>
  <c r="E65" i="4"/>
  <c r="G27" i="4"/>
  <c r="G28" i="4" s="1"/>
  <c r="H27" i="4"/>
  <c r="H28" i="4" s="1"/>
  <c r="G75" i="4"/>
  <c r="G105" i="4" s="1"/>
  <c r="L99" i="4"/>
  <c r="L100" i="4" s="1"/>
  <c r="K98" i="4"/>
  <c r="K103" i="4" s="1"/>
  <c r="L105" i="4"/>
  <c r="L110" i="4"/>
  <c r="L114" i="4" s="1"/>
  <c r="I99" i="4"/>
  <c r="I100" i="4" s="1"/>
  <c r="H99" i="4"/>
  <c r="H100" i="4"/>
  <c r="L36" i="2"/>
  <c r="K36" i="2"/>
  <c r="J36" i="2"/>
  <c r="I54" i="2"/>
  <c r="I57" i="2" s="1"/>
  <c r="H54" i="2"/>
  <c r="G54" i="2"/>
  <c r="F54" i="2"/>
  <c r="F57" i="2" s="1"/>
  <c r="I42" i="2"/>
  <c r="H42" i="2"/>
  <c r="G42" i="2"/>
  <c r="F42" i="2"/>
  <c r="G39" i="2"/>
  <c r="G48" i="2" s="1"/>
  <c r="G57" i="2"/>
  <c r="I64" i="2"/>
  <c r="H64" i="2"/>
  <c r="G64" i="2"/>
  <c r="F64" i="2"/>
  <c r="E64" i="2"/>
  <c r="E57" i="2"/>
  <c r="E65" i="2" s="1"/>
  <c r="E54" i="2"/>
  <c r="E42" i="2"/>
  <c r="I55" i="2"/>
  <c r="H55" i="2"/>
  <c r="H57" i="2" s="1"/>
  <c r="G55" i="2"/>
  <c r="I47" i="2"/>
  <c r="H47" i="2"/>
  <c r="G47" i="2"/>
  <c r="F47" i="2"/>
  <c r="E47" i="2"/>
  <c r="I36" i="2"/>
  <c r="I39" i="2" s="1"/>
  <c r="I48" i="2" s="1"/>
  <c r="H36" i="2"/>
  <c r="H39" i="2" s="1"/>
  <c r="H48" i="2" s="1"/>
  <c r="G36" i="2"/>
  <c r="F36" i="2"/>
  <c r="F39" i="2" s="1"/>
  <c r="F48" i="2" s="1"/>
  <c r="E36" i="2"/>
  <c r="E39" i="2" s="1"/>
  <c r="E48" i="2" s="1"/>
  <c r="H27" i="2"/>
  <c r="H28" i="2" s="1"/>
  <c r="L26" i="2"/>
  <c r="K26" i="2"/>
  <c r="J26" i="2"/>
  <c r="I26" i="2"/>
  <c r="I27" i="2" s="1"/>
  <c r="I28" i="2" s="1"/>
  <c r="H26" i="2"/>
  <c r="G26" i="2"/>
  <c r="F26" i="2"/>
  <c r="E26" i="2"/>
  <c r="I25" i="2"/>
  <c r="H25" i="2"/>
  <c r="G25" i="2"/>
  <c r="G27" i="2" s="1"/>
  <c r="G28" i="2" s="1"/>
  <c r="F25" i="2"/>
  <c r="F27" i="2" s="1"/>
  <c r="F28" i="2" s="1"/>
  <c r="E25" i="2"/>
  <c r="E27" i="2" s="1"/>
  <c r="E28" i="2" s="1"/>
  <c r="J13" i="2"/>
  <c r="J25" i="2" s="1"/>
  <c r="J27" i="2" s="1"/>
  <c r="J28" i="2" s="1"/>
  <c r="L10" i="2"/>
  <c r="L13" i="2" s="1"/>
  <c r="L25" i="2" s="1"/>
  <c r="L27" i="2" s="1"/>
  <c r="L28" i="2" s="1"/>
  <c r="K10" i="2"/>
  <c r="K13" i="2" s="1"/>
  <c r="K25" i="2" s="1"/>
  <c r="K27" i="2" s="1"/>
  <c r="K28" i="2" s="1"/>
  <c r="J10" i="2"/>
  <c r="I10" i="2"/>
  <c r="H10" i="2"/>
  <c r="G10" i="2"/>
  <c r="F10" i="2"/>
  <c r="E10" i="2"/>
  <c r="G65" i="4" l="1"/>
  <c r="G76" i="4"/>
  <c r="G71" i="4"/>
  <c r="G70" i="4"/>
  <c r="O17" i="4"/>
  <c r="O45" i="4" s="1"/>
  <c r="P17" i="4" s="1"/>
  <c r="P45" i="4" s="1"/>
  <c r="Q17" i="4" s="1"/>
  <c r="Q45" i="4" s="1"/>
  <c r="Z13" i="4"/>
  <c r="M15" i="4"/>
  <c r="M95" i="4" s="1"/>
  <c r="M91" i="4"/>
  <c r="M13" i="4"/>
  <c r="M14" i="4"/>
  <c r="M94" i="4" s="1"/>
  <c r="M12" i="4"/>
  <c r="M92" i="4" s="1"/>
  <c r="I105" i="4"/>
  <c r="I110" i="4" s="1"/>
  <c r="I114" i="4" s="1"/>
  <c r="N14" i="4"/>
  <c r="N94" i="4" s="1"/>
  <c r="N91" i="4"/>
  <c r="N12" i="4"/>
  <c r="N92" i="4" s="1"/>
  <c r="AA13" i="4"/>
  <c r="N15" i="4"/>
  <c r="N95" i="4" s="1"/>
  <c r="N13" i="4"/>
  <c r="O10" i="4"/>
  <c r="P5" i="4"/>
  <c r="H71" i="4"/>
  <c r="H70" i="4"/>
  <c r="H73" i="4"/>
  <c r="H105" i="4"/>
  <c r="H110" i="4" s="1"/>
  <c r="H114" i="4" s="1"/>
  <c r="F110" i="4"/>
  <c r="F114" i="4" s="1"/>
  <c r="K99" i="4"/>
  <c r="K100" i="4" s="1"/>
  <c r="K110" i="4" s="1"/>
  <c r="K114" i="4" s="1"/>
  <c r="F65" i="2"/>
  <c r="G65" i="2"/>
  <c r="H65" i="2"/>
  <c r="I65" i="2"/>
  <c r="B15" i="1"/>
  <c r="B30" i="1"/>
  <c r="O12" i="4" l="1"/>
  <c r="O92" i="4" s="1"/>
  <c r="AB13" i="4"/>
  <c r="O14" i="4"/>
  <c r="O94" i="4" s="1"/>
  <c r="O91" i="4"/>
  <c r="O93" i="4" s="1"/>
  <c r="O15" i="4"/>
  <c r="O95" i="4" s="1"/>
  <c r="O13" i="4"/>
  <c r="Z15" i="4"/>
  <c r="M43" i="4" s="1"/>
  <c r="N43" i="4" s="1"/>
  <c r="Z14" i="4"/>
  <c r="M40" i="4" s="1"/>
  <c r="AA14" i="4"/>
  <c r="AA15" i="4"/>
  <c r="P10" i="4"/>
  <c r="Q5" i="4"/>
  <c r="N93" i="4"/>
  <c r="N96" i="4" s="1"/>
  <c r="M93" i="4"/>
  <c r="M96" i="4" s="1"/>
  <c r="M99" i="4" s="1"/>
  <c r="M100" i="4" s="1"/>
  <c r="R17" i="4"/>
  <c r="R45" i="4" s="1"/>
  <c r="R5" i="4" l="1"/>
  <c r="Q10" i="4"/>
  <c r="N40" i="4"/>
  <c r="M42" i="4"/>
  <c r="O96" i="4"/>
  <c r="AB14" i="4"/>
  <c r="AB15" i="4"/>
  <c r="O43" i="4" s="1"/>
  <c r="P91" i="4"/>
  <c r="P12" i="4"/>
  <c r="P92" i="4" s="1"/>
  <c r="P14" i="4"/>
  <c r="P94" i="4" s="1"/>
  <c r="AC13" i="4"/>
  <c r="P15" i="4"/>
  <c r="P95" i="4" s="1"/>
  <c r="S17" i="4"/>
  <c r="S45" i="4" s="1"/>
  <c r="P93" i="4" l="1"/>
  <c r="P96" i="4" s="1"/>
  <c r="P13" i="4"/>
  <c r="M107" i="4"/>
  <c r="M110" i="4" s="1"/>
  <c r="M114" i="4" s="1"/>
  <c r="N16" i="4"/>
  <c r="N41" i="4" s="1"/>
  <c r="AC14" i="4"/>
  <c r="AC15" i="4"/>
  <c r="P43" i="4" s="1"/>
  <c r="Q14" i="4"/>
  <c r="Q94" i="4" s="1"/>
  <c r="Q91" i="4"/>
  <c r="Q12" i="4"/>
  <c r="Q92" i="4" s="1"/>
  <c r="AD13" i="4"/>
  <c r="Q15" i="4"/>
  <c r="Q95" i="4" s="1"/>
  <c r="O40" i="4"/>
  <c r="S5" i="4"/>
  <c r="S10" i="4" s="1"/>
  <c r="R10" i="4"/>
  <c r="Q93" i="4" l="1"/>
  <c r="Q96" i="4" s="1"/>
  <c r="Q13" i="4"/>
  <c r="N98" i="4"/>
  <c r="P40" i="4"/>
  <c r="R14" i="4"/>
  <c r="R94" i="4" s="1"/>
  <c r="R91" i="4"/>
  <c r="R12" i="4"/>
  <c r="R92" i="4" s="1"/>
  <c r="AE13" i="4"/>
  <c r="R15" i="4"/>
  <c r="R95" i="4" s="1"/>
  <c r="AD14" i="4"/>
  <c r="AD15" i="4"/>
  <c r="Q43" i="4" s="1"/>
  <c r="AF13" i="4"/>
  <c r="S15" i="4"/>
  <c r="S95" i="4" s="1"/>
  <c r="S14" i="4"/>
  <c r="S94" i="4" s="1"/>
  <c r="S91" i="4"/>
  <c r="S12" i="4"/>
  <c r="S92" i="4" s="1"/>
  <c r="N42" i="4"/>
  <c r="N107" i="4" l="1"/>
  <c r="O16" i="4"/>
  <c r="O41" i="4" s="1"/>
  <c r="AE15" i="4"/>
  <c r="R43" i="4" s="1"/>
  <c r="S43" i="4" s="1"/>
  <c r="AE14" i="4"/>
  <c r="S93" i="4"/>
  <c r="S96" i="4" s="1"/>
  <c r="Q40" i="4"/>
  <c r="R93" i="4"/>
  <c r="R96" i="4" s="1"/>
  <c r="S13" i="4"/>
  <c r="AF14" i="4"/>
  <c r="AF15" i="4"/>
  <c r="R13" i="4"/>
  <c r="N103" i="4"/>
  <c r="N99" i="4"/>
  <c r="N100" i="4" s="1"/>
  <c r="N110" i="4" s="1"/>
  <c r="N114" i="4" s="1"/>
  <c r="R40" i="4" l="1"/>
  <c r="O98" i="4"/>
  <c r="O42" i="4"/>
  <c r="P16" i="4" l="1"/>
  <c r="P41" i="4" s="1"/>
  <c r="O107" i="4"/>
  <c r="S40" i="4"/>
  <c r="O103" i="4"/>
  <c r="O99" i="4"/>
  <c r="O100" i="4" s="1"/>
  <c r="O110" i="4" s="1"/>
  <c r="O114" i="4" s="1"/>
  <c r="P98" i="4" l="1"/>
  <c r="P42" i="4"/>
  <c r="Q16" i="4" l="1"/>
  <c r="Q41" i="4" s="1"/>
  <c r="P107" i="4"/>
  <c r="P103" i="4"/>
  <c r="P99" i="4"/>
  <c r="P100" i="4" s="1"/>
  <c r="P110" i="4" s="1"/>
  <c r="P114" i="4" s="1"/>
  <c r="Q98" i="4" l="1"/>
  <c r="Q42" i="4"/>
  <c r="R16" i="4" l="1"/>
  <c r="R41" i="4" s="1"/>
  <c r="Q107" i="4"/>
  <c r="Q103" i="4"/>
  <c r="Q99" i="4"/>
  <c r="Q100" i="4" s="1"/>
  <c r="Q110" i="4" s="1"/>
  <c r="Q114" i="4" s="1"/>
  <c r="R98" i="4" l="1"/>
  <c r="R42" i="4"/>
  <c r="S16" i="4" l="1"/>
  <c r="S41" i="4" s="1"/>
  <c r="R107" i="4"/>
  <c r="R103" i="4"/>
  <c r="R99" i="4"/>
  <c r="R100" i="4" s="1"/>
  <c r="R110" i="4" s="1"/>
  <c r="R114" i="4" s="1"/>
  <c r="S42" i="4" l="1"/>
  <c r="S107" i="4" s="1"/>
  <c r="S98" i="4"/>
  <c r="S103" i="4" l="1"/>
  <c r="S99" i="4"/>
  <c r="S100" i="4" s="1"/>
  <c r="S110" i="4" s="1"/>
  <c r="S114" i="4" s="1"/>
</calcChain>
</file>

<file path=xl/sharedStrings.xml><?xml version="1.0" encoding="utf-8"?>
<sst xmlns="http://schemas.openxmlformats.org/spreadsheetml/2006/main" count="267" uniqueCount="149">
  <si>
    <t>Amount</t>
  </si>
  <si>
    <t>Estimated</t>
  </si>
  <si>
    <t>Interest</t>
  </si>
  <si>
    <t>Rate (%)</t>
  </si>
  <si>
    <t>Olam's Borrowings and Estimated Interest Rates for FY2013</t>
  </si>
  <si>
    <t>Current</t>
  </si>
  <si>
    <t>Bank overdrafts</t>
  </si>
  <si>
    <t>Bank loans (company)</t>
  </si>
  <si>
    <t>Bank loans (subsidiaries)</t>
  </si>
  <si>
    <t>Term loans from banks (company)</t>
  </si>
  <si>
    <t>Medium-term notes (2.5%)</t>
  </si>
  <si>
    <t>Obligation under finance leases</t>
  </si>
  <si>
    <t>Convertible bonds</t>
  </si>
  <si>
    <t>Non-curent</t>
  </si>
  <si>
    <t>Term loans from banks (subsidiaries)</t>
  </si>
  <si>
    <t>Medium-term notes</t>
  </si>
  <si>
    <t>Convertible bonds 6%</t>
  </si>
  <si>
    <t>Other bonds</t>
  </si>
  <si>
    <t>7.5% unsecured senior bonds</t>
  </si>
  <si>
    <t>Outspan Ivoire SA bonds</t>
  </si>
  <si>
    <t>6.75% bonds</t>
  </si>
  <si>
    <t>($000)</t>
  </si>
  <si>
    <t>Number of shares outstanding</t>
  </si>
  <si>
    <t>Closing price on March 31, 2014</t>
  </si>
  <si>
    <t>Target Debt/Equity Ratio</t>
  </si>
  <si>
    <t>Equity Beta</t>
  </si>
  <si>
    <t>Marginal Tax Rate</t>
  </si>
  <si>
    <t>Olam's Income Statement and Revenues Streams 2009-2013 ($000)</t>
  </si>
  <si>
    <t>Revenues</t>
  </si>
  <si>
    <t>Edible Nuts, Spices &amp; Beans</t>
  </si>
  <si>
    <t>Confectionary &amp; Beverage Ingredients</t>
  </si>
  <si>
    <t>Food Staples &amp; Packaged Foods</t>
  </si>
  <si>
    <t>Industrial Raw Materials</t>
  </si>
  <si>
    <t>Commodity Financial Services</t>
  </si>
  <si>
    <t>Cost of goods sold</t>
  </si>
  <si>
    <t>Gross Profit</t>
  </si>
  <si>
    <t>Other operating revenue</t>
  </si>
  <si>
    <t>Operating expenses</t>
  </si>
  <si>
    <t>Depreciation</t>
  </si>
  <si>
    <t>Amortization of intangibles</t>
  </si>
  <si>
    <t>Interest expense</t>
  </si>
  <si>
    <t>Net Operating gains (losses)</t>
  </si>
  <si>
    <t>F/X gains(losses)</t>
  </si>
  <si>
    <t>Income before Tax</t>
  </si>
  <si>
    <t>Income Tax</t>
  </si>
  <si>
    <t>Income after Tax</t>
  </si>
  <si>
    <t>2009A</t>
  </si>
  <si>
    <t>2010A</t>
  </si>
  <si>
    <t>2011A</t>
  </si>
  <si>
    <t>2012A</t>
  </si>
  <si>
    <t>2013A</t>
  </si>
  <si>
    <t>2014F</t>
  </si>
  <si>
    <t>2015F</t>
  </si>
  <si>
    <t>2016F</t>
  </si>
  <si>
    <t>EBITDA</t>
  </si>
  <si>
    <t>Depreciation and amortization</t>
  </si>
  <si>
    <t>EBIT</t>
  </si>
  <si>
    <t>After-tax EBIT</t>
  </si>
  <si>
    <t>Olam's Statement of Financial Position ($000)</t>
  </si>
  <si>
    <t>Assets</t>
  </si>
  <si>
    <t>Cash</t>
  </si>
  <si>
    <t>Net Operating Working Capital</t>
  </si>
  <si>
    <t>Other Receivables</t>
  </si>
  <si>
    <t>Other current assets</t>
  </si>
  <si>
    <t>PPE (Gross)</t>
  </si>
  <si>
    <t>Accumulated Depreciation</t>
  </si>
  <si>
    <t>PPE (Net)</t>
  </si>
  <si>
    <t>Intangibles (Net)</t>
  </si>
  <si>
    <t>Biological assets (Net)</t>
  </si>
  <si>
    <t>Investments</t>
  </si>
  <si>
    <t>Other assets</t>
  </si>
  <si>
    <t>Liabilities</t>
  </si>
  <si>
    <t>Notes payable</t>
  </si>
  <si>
    <t>Current portion of LT debt</t>
  </si>
  <si>
    <t>LT Debt and Lease obligations</t>
  </si>
  <si>
    <t>Deferred tax liabilities</t>
  </si>
  <si>
    <t>Equity</t>
  </si>
  <si>
    <t>Share capital</t>
  </si>
  <si>
    <t>Perpetual capital</t>
  </si>
  <si>
    <t>Reserves</t>
  </si>
  <si>
    <t>Non-controlling interests</t>
  </si>
  <si>
    <t>Other current liabilities</t>
  </si>
  <si>
    <t>Goodwill (Net)</t>
  </si>
  <si>
    <t>RETURN ON LT ASSETS</t>
  </si>
  <si>
    <t>ROE</t>
  </si>
  <si>
    <t>TOTAL CURRENT ASSETS</t>
  </si>
  <si>
    <t>TOTAL ASSET</t>
  </si>
  <si>
    <t>TOTAL CURRENT LIABILITY</t>
  </si>
  <si>
    <t>TOTAL LIABILITY</t>
  </si>
  <si>
    <t>TOTAL EQUITY</t>
  </si>
  <si>
    <t>TOTAL L&amp;E</t>
  </si>
  <si>
    <t>ROA</t>
  </si>
  <si>
    <t>Equity Multiplier</t>
  </si>
  <si>
    <t>ROS</t>
  </si>
  <si>
    <t>TOTAL REVENUE</t>
  </si>
  <si>
    <t>Asset Turnover</t>
  </si>
  <si>
    <t>Tax Rate</t>
  </si>
  <si>
    <t>Working Capital</t>
  </si>
  <si>
    <t>PP&amp;E Turnover</t>
  </si>
  <si>
    <t>PPE YoY %</t>
  </si>
  <si>
    <t>PPE YoY ABS</t>
  </si>
  <si>
    <t>FREE CASH FLOW</t>
  </si>
  <si>
    <t>Less: Cost of goods sold</t>
  </si>
  <si>
    <t>Add: Other Operating Revenue</t>
  </si>
  <si>
    <t>Less: Operating Expense</t>
  </si>
  <si>
    <t>Less: A&amp;D</t>
  </si>
  <si>
    <t>RATIOS</t>
  </si>
  <si>
    <t>After-Tax EBIT</t>
  </si>
  <si>
    <t>Add: Noncash Operating Expenses</t>
  </si>
  <si>
    <t>D&amp;A</t>
  </si>
  <si>
    <t>Less: Changes in operating WC</t>
  </si>
  <si>
    <t>Less: Total CapEx and Investments</t>
  </si>
  <si>
    <t>Add: Disposal</t>
  </si>
  <si>
    <t>Free Cash Flow to Firm</t>
  </si>
  <si>
    <t>Financial Leverage</t>
  </si>
  <si>
    <t>Dividend Payout Ratio</t>
  </si>
  <si>
    <t>2017F</t>
  </si>
  <si>
    <t>2018F</t>
  </si>
  <si>
    <t>2019F</t>
  </si>
  <si>
    <t>2020F</t>
  </si>
  <si>
    <t>2021F</t>
  </si>
  <si>
    <t>2022F</t>
  </si>
  <si>
    <t>2023F</t>
  </si>
  <si>
    <t>YoY Revenue Growth</t>
  </si>
  <si>
    <t>CapEx</t>
  </si>
  <si>
    <t>PPE</t>
  </si>
  <si>
    <t>BA</t>
  </si>
  <si>
    <t>DISCOUNTED CASH FLOW</t>
  </si>
  <si>
    <t>Free Cash Flow</t>
  </si>
  <si>
    <t>PV factor</t>
  </si>
  <si>
    <t>Equity Value in 2014</t>
  </si>
  <si>
    <t>Period</t>
  </si>
  <si>
    <t>WACC</t>
  </si>
  <si>
    <t>Current beta</t>
  </si>
  <si>
    <t>Unlevered beta</t>
  </si>
  <si>
    <t>Terminal growth</t>
  </si>
  <si>
    <t>Tax rate</t>
  </si>
  <si>
    <t>r debt</t>
  </si>
  <si>
    <t>risk-free rate</t>
  </si>
  <si>
    <t>market risk premium</t>
  </si>
  <si>
    <t>MV equity</t>
  </si>
  <si>
    <t>debt / value</t>
  </si>
  <si>
    <t>Levered beta</t>
  </si>
  <si>
    <t>k equity</t>
  </si>
  <si>
    <t>WAAC</t>
  </si>
  <si>
    <t>given</t>
  </si>
  <si>
    <t>Bloomberg 10year</t>
  </si>
  <si>
    <t>current beta / (1+(1-tax)*debt/equity) (estimated at 2013)</t>
  </si>
  <si>
    <t>OlamCostofCapital!D30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</si>
</sst>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72" formatCode="0.000"/>
    <numFmt numFmtId="173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9" fontId="0" fillId="0" borderId="0" xfId="0" applyNumberFormat="1"/>
    <xf numFmtId="10" fontId="0" fillId="0" borderId="0" xfId="0" applyNumberFormat="1"/>
    <xf numFmtId="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2" fillId="0" borderId="0" xfId="0" applyFont="1"/>
    <xf numFmtId="43" fontId="0" fillId="0" borderId="0" xfId="1" applyNumberFormat="1" applyFont="1"/>
    <xf numFmtId="44" fontId="0" fillId="0" borderId="0" xfId="2" applyFont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 vertical="center"/>
    </xf>
    <xf numFmtId="2" fontId="0" fillId="0" borderId="0" xfId="0" applyNumberFormat="1"/>
    <xf numFmtId="173" fontId="0" fillId="0" borderId="0" xfId="3" applyNumberFormat="1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0" fillId="0" borderId="0" xfId="3" applyFont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F35" sqref="F35"/>
    </sheetView>
  </sheetViews>
  <sheetFormatPr baseColWidth="10" defaultColWidth="9.140625" defaultRowHeight="15" x14ac:dyDescent="0.25"/>
  <cols>
    <col min="1" max="1" width="32.5703125" customWidth="1"/>
    <col min="2" max="2" width="16.140625" bestFit="1" customWidth="1"/>
  </cols>
  <sheetData>
    <row r="1" spans="1:3" x14ac:dyDescent="0.25">
      <c r="A1" s="8" t="s">
        <v>4</v>
      </c>
    </row>
    <row r="3" spans="1:3" x14ac:dyDescent="0.25">
      <c r="B3" s="4" t="s">
        <v>0</v>
      </c>
      <c r="C3" s="4" t="s">
        <v>1</v>
      </c>
    </row>
    <row r="4" spans="1:3" x14ac:dyDescent="0.25">
      <c r="B4" s="3" t="s">
        <v>21</v>
      </c>
      <c r="C4" s="4" t="s">
        <v>2</v>
      </c>
    </row>
    <row r="5" spans="1:3" x14ac:dyDescent="0.25">
      <c r="B5" s="4"/>
      <c r="C5" s="4" t="s">
        <v>3</v>
      </c>
    </row>
    <row r="7" spans="1:3" x14ac:dyDescent="0.25">
      <c r="A7" t="s">
        <v>5</v>
      </c>
    </row>
    <row r="8" spans="1:3" x14ac:dyDescent="0.25">
      <c r="A8" t="s">
        <v>6</v>
      </c>
      <c r="B8" s="5">
        <v>262147</v>
      </c>
      <c r="C8" s="7">
        <v>0.121</v>
      </c>
    </row>
    <row r="9" spans="1:3" x14ac:dyDescent="0.25">
      <c r="A9" t="s">
        <v>7</v>
      </c>
      <c r="B9" s="5">
        <v>164371</v>
      </c>
      <c r="C9" s="7">
        <v>1.3899999999999999E-2</v>
      </c>
    </row>
    <row r="10" spans="1:3" x14ac:dyDescent="0.25">
      <c r="A10" t="s">
        <v>8</v>
      </c>
      <c r="B10" s="5">
        <v>1951506</v>
      </c>
      <c r="C10" s="7">
        <v>0.121</v>
      </c>
    </row>
    <row r="11" spans="1:3" x14ac:dyDescent="0.25">
      <c r="A11" t="s">
        <v>9</v>
      </c>
      <c r="B11" s="5">
        <v>308522</v>
      </c>
      <c r="C11" s="7">
        <v>2.92E-2</v>
      </c>
    </row>
    <row r="12" spans="1:3" x14ac:dyDescent="0.25">
      <c r="A12" t="s">
        <v>10</v>
      </c>
      <c r="B12" s="5">
        <v>248055</v>
      </c>
      <c r="C12" s="7">
        <v>2.5000000000000001E-2</v>
      </c>
    </row>
    <row r="13" spans="1:3" x14ac:dyDescent="0.25">
      <c r="A13" t="s">
        <v>11</v>
      </c>
      <c r="B13" s="5">
        <v>4403</v>
      </c>
      <c r="C13" s="7">
        <v>5.3800000000000001E-2</v>
      </c>
    </row>
    <row r="14" spans="1:3" x14ac:dyDescent="0.25">
      <c r="A14" t="s">
        <v>12</v>
      </c>
      <c r="B14" s="5">
        <v>27555</v>
      </c>
      <c r="C14" s="7">
        <v>0.01</v>
      </c>
    </row>
    <row r="15" spans="1:3" x14ac:dyDescent="0.25">
      <c r="B15" s="5">
        <f>+SUM(B8:B14)</f>
        <v>2966559</v>
      </c>
      <c r="C15" s="7"/>
    </row>
    <row r="16" spans="1:3" x14ac:dyDescent="0.25">
      <c r="A16" t="s">
        <v>13</v>
      </c>
      <c r="B16" s="5"/>
      <c r="C16" s="7"/>
    </row>
    <row r="17" spans="1:4" x14ac:dyDescent="0.25">
      <c r="A17" t="s">
        <v>9</v>
      </c>
      <c r="B17" s="5">
        <v>1670762</v>
      </c>
      <c r="C17" s="7">
        <v>2.92E-2</v>
      </c>
      <c r="D17">
        <f>C17*B17/$B$30</f>
        <v>8.2932028757645958E-3</v>
      </c>
    </row>
    <row r="18" spans="1:4" x14ac:dyDescent="0.25">
      <c r="A18" t="s">
        <v>14</v>
      </c>
      <c r="B18" s="5">
        <v>683430</v>
      </c>
      <c r="C18" s="7">
        <v>6.8599999999999994E-2</v>
      </c>
      <c r="D18">
        <f>C18*B18/$B$30</f>
        <v>7.9697188984814565E-3</v>
      </c>
    </row>
    <row r="19" spans="1:4" x14ac:dyDescent="0.25">
      <c r="A19" t="s">
        <v>15</v>
      </c>
      <c r="B19" s="5"/>
      <c r="C19" s="7"/>
      <c r="D19">
        <f t="shared" ref="D19:D29" si="0">C19*B19/$B$30</f>
        <v>0</v>
      </c>
    </row>
    <row r="20" spans="1:4" x14ac:dyDescent="0.25">
      <c r="A20" s="1">
        <v>0.06</v>
      </c>
      <c r="B20" s="5">
        <v>249075</v>
      </c>
      <c r="C20" s="7">
        <v>0.06</v>
      </c>
      <c r="D20">
        <f t="shared" si="0"/>
        <v>2.540424184287465E-3</v>
      </c>
    </row>
    <row r="21" spans="1:4" x14ac:dyDescent="0.25">
      <c r="A21" s="2">
        <v>5.7500000000000002E-2</v>
      </c>
      <c r="B21" s="5">
        <v>633300</v>
      </c>
      <c r="C21" s="7">
        <v>5.7500000000000002E-2</v>
      </c>
      <c r="D21">
        <f t="shared" si="0"/>
        <v>6.1901643791884616E-3</v>
      </c>
    </row>
    <row r="22" spans="1:4" x14ac:dyDescent="0.25">
      <c r="A22" s="2">
        <v>5.8000000000000003E-2</v>
      </c>
      <c r="B22" s="5">
        <v>348107</v>
      </c>
      <c r="C22" s="7">
        <v>5.8000000000000003E-2</v>
      </c>
      <c r="D22">
        <f t="shared" si="0"/>
        <v>3.4321447762150547E-3</v>
      </c>
    </row>
    <row r="23" spans="1:4" x14ac:dyDescent="0.25">
      <c r="A23" s="1">
        <v>0.06</v>
      </c>
      <c r="B23" s="5">
        <v>494023</v>
      </c>
      <c r="C23" s="7">
        <v>0.06</v>
      </c>
      <c r="D23">
        <f t="shared" si="0"/>
        <v>5.0387553017936211E-3</v>
      </c>
    </row>
    <row r="24" spans="1:4" x14ac:dyDescent="0.25">
      <c r="A24" t="s">
        <v>11</v>
      </c>
      <c r="B24" s="5">
        <v>21563</v>
      </c>
      <c r="C24" s="7">
        <v>5.3800000000000001E-2</v>
      </c>
      <c r="D24">
        <f t="shared" si="0"/>
        <v>1.9720426696748201E-4</v>
      </c>
    </row>
    <row r="25" spans="1:4" x14ac:dyDescent="0.25">
      <c r="A25" t="s">
        <v>16</v>
      </c>
      <c r="B25" s="5">
        <v>564601</v>
      </c>
      <c r="C25" s="7">
        <v>0.06</v>
      </c>
      <c r="D25">
        <f t="shared" si="0"/>
        <v>5.7586110001922588E-3</v>
      </c>
    </row>
    <row r="26" spans="1:4" x14ac:dyDescent="0.25">
      <c r="A26" t="s">
        <v>17</v>
      </c>
      <c r="B26" s="5"/>
      <c r="C26" s="7"/>
      <c r="D26">
        <f t="shared" si="0"/>
        <v>0</v>
      </c>
    </row>
    <row r="27" spans="1:4" x14ac:dyDescent="0.25">
      <c r="A27" t="s">
        <v>18</v>
      </c>
      <c r="B27" s="5">
        <v>314960</v>
      </c>
      <c r="C27" s="7">
        <v>7.4999999999999997E-2</v>
      </c>
      <c r="D27">
        <f t="shared" si="0"/>
        <v>4.0155174198694167E-3</v>
      </c>
    </row>
    <row r="28" spans="1:4" x14ac:dyDescent="0.25">
      <c r="A28" t="s">
        <v>19</v>
      </c>
      <c r="B28" s="5">
        <v>24492</v>
      </c>
      <c r="C28" s="7">
        <v>7.0000000000000007E-2</v>
      </c>
      <c r="D28">
        <f t="shared" si="0"/>
        <v>2.9143864555587686E-4</v>
      </c>
    </row>
    <row r="29" spans="1:4" x14ac:dyDescent="0.25">
      <c r="A29" t="s">
        <v>20</v>
      </c>
      <c r="B29" s="5">
        <v>878366</v>
      </c>
      <c r="C29" s="7">
        <v>6.7500000000000004E-2</v>
      </c>
      <c r="D29">
        <f t="shared" si="0"/>
        <v>1.0078691188147441E-2</v>
      </c>
    </row>
    <row r="30" spans="1:4" x14ac:dyDescent="0.25">
      <c r="B30" s="5">
        <f>+SUM(B17:B29)</f>
        <v>5882679</v>
      </c>
      <c r="D30" s="7">
        <f>SUM(D17:D29)</f>
        <v>5.3805872936463134E-2</v>
      </c>
    </row>
    <row r="32" spans="1:4" x14ac:dyDescent="0.25">
      <c r="A32" t="s">
        <v>22</v>
      </c>
      <c r="B32" s="5">
        <v>2442409869</v>
      </c>
    </row>
    <row r="33" spans="1:2" x14ac:dyDescent="0.25">
      <c r="A33" t="s">
        <v>23</v>
      </c>
      <c r="B33" s="10">
        <v>2.2200000000000002</v>
      </c>
    </row>
    <row r="34" spans="1:2" x14ac:dyDescent="0.25">
      <c r="A34" t="s">
        <v>24</v>
      </c>
      <c r="B34" s="9">
        <v>1.93</v>
      </c>
    </row>
    <row r="35" spans="1:2" x14ac:dyDescent="0.25">
      <c r="A35" t="s">
        <v>25</v>
      </c>
      <c r="B35">
        <v>1.56</v>
      </c>
    </row>
    <row r="36" spans="1:2" x14ac:dyDescent="0.25">
      <c r="A36" t="s">
        <v>26</v>
      </c>
      <c r="B36" s="6">
        <v>0.17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49" workbookViewId="0">
      <selection activeCell="E40" sqref="E40:I40"/>
    </sheetView>
  </sheetViews>
  <sheetFormatPr baseColWidth="10" defaultColWidth="9.140625" defaultRowHeight="15" x14ac:dyDescent="0.25"/>
  <cols>
    <col min="5" max="5" width="12.5703125" bestFit="1" customWidth="1"/>
    <col min="6" max="6" width="11.5703125" bestFit="1" customWidth="1"/>
    <col min="7" max="7" width="11.28515625" customWidth="1"/>
    <col min="8" max="8" width="11.5703125" bestFit="1" customWidth="1"/>
    <col min="9" max="9" width="11.5703125" customWidth="1"/>
    <col min="10" max="12" width="13.5703125" bestFit="1" customWidth="1"/>
  </cols>
  <sheetData>
    <row r="1" spans="1:12" x14ac:dyDescent="0.25">
      <c r="A1" s="8" t="s">
        <v>27</v>
      </c>
    </row>
    <row r="3" spans="1:12" x14ac:dyDescent="0.25"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  <c r="J3" s="4" t="s">
        <v>51</v>
      </c>
      <c r="K3" s="4" t="s">
        <v>52</v>
      </c>
      <c r="L3" s="4" t="s">
        <v>53</v>
      </c>
    </row>
    <row r="4" spans="1:12" x14ac:dyDescent="0.25">
      <c r="A4" t="s">
        <v>28</v>
      </c>
    </row>
    <row r="5" spans="1:12" x14ac:dyDescent="0.25">
      <c r="A5" t="s">
        <v>29</v>
      </c>
      <c r="E5" s="5">
        <v>1200076</v>
      </c>
      <c r="F5" s="5">
        <v>1489434</v>
      </c>
      <c r="G5" s="5">
        <v>2183158</v>
      </c>
      <c r="H5" s="5">
        <v>2562755</v>
      </c>
      <c r="I5" s="5">
        <v>3205127</v>
      </c>
      <c r="J5" s="5">
        <v>3733731</v>
      </c>
      <c r="K5" s="5">
        <v>3908332</v>
      </c>
      <c r="L5" s="5">
        <v>4262736</v>
      </c>
    </row>
    <row r="6" spans="1:12" x14ac:dyDescent="0.25">
      <c r="A6" t="s">
        <v>30</v>
      </c>
      <c r="E6" s="5">
        <v>3783126</v>
      </c>
      <c r="F6" s="5">
        <v>4080307</v>
      </c>
      <c r="G6" s="5">
        <v>6361459</v>
      </c>
      <c r="H6" s="5">
        <v>5902203</v>
      </c>
      <c r="I6" s="5">
        <v>5273235</v>
      </c>
      <c r="J6" s="5">
        <v>5213834</v>
      </c>
      <c r="K6" s="5">
        <v>5349935</v>
      </c>
      <c r="L6" s="5">
        <v>5699737</v>
      </c>
    </row>
    <row r="7" spans="1:12" x14ac:dyDescent="0.25">
      <c r="A7" t="s">
        <v>31</v>
      </c>
      <c r="E7" s="5">
        <v>2139621</v>
      </c>
      <c r="F7" s="5">
        <v>2589545</v>
      </c>
      <c r="G7" s="5">
        <v>3466623</v>
      </c>
      <c r="H7" s="5">
        <v>4586435</v>
      </c>
      <c r="I7" s="5">
        <v>7720913</v>
      </c>
      <c r="J7" s="5">
        <v>9021015</v>
      </c>
      <c r="K7" s="5">
        <v>9638616</v>
      </c>
      <c r="L7" s="5">
        <v>10886518</v>
      </c>
    </row>
    <row r="8" spans="1:12" x14ac:dyDescent="0.25">
      <c r="A8" t="s">
        <v>32</v>
      </c>
      <c r="E8" s="5">
        <v>1465109</v>
      </c>
      <c r="F8" s="5">
        <v>2295746</v>
      </c>
      <c r="G8" s="5">
        <v>3790018</v>
      </c>
      <c r="H8" s="5">
        <v>4040810</v>
      </c>
      <c r="I8" s="5">
        <v>4601099</v>
      </c>
      <c r="J8" s="5">
        <v>5158298</v>
      </c>
      <c r="K8" s="5">
        <v>5266598</v>
      </c>
      <c r="L8" s="5">
        <v>5583598</v>
      </c>
    </row>
    <row r="9" spans="1:12" x14ac:dyDescent="0.25">
      <c r="A9" t="s">
        <v>33</v>
      </c>
      <c r="E9" s="5">
        <v>0</v>
      </c>
      <c r="F9" s="5">
        <v>0</v>
      </c>
      <c r="G9" s="5">
        <v>2129</v>
      </c>
      <c r="H9" s="5">
        <v>1548</v>
      </c>
      <c r="I9" s="5">
        <v>1424</v>
      </c>
      <c r="J9" s="5">
        <v>1466</v>
      </c>
      <c r="K9" s="5">
        <v>1510</v>
      </c>
      <c r="L9" s="5">
        <v>1556</v>
      </c>
    </row>
    <row r="10" spans="1:12" x14ac:dyDescent="0.25">
      <c r="E10" s="5">
        <f>+SUM(E5:E9)</f>
        <v>8587932</v>
      </c>
      <c r="F10" s="5">
        <f t="shared" ref="F10:L10" si="0">+SUM(F5:F9)</f>
        <v>10455032</v>
      </c>
      <c r="G10" s="5">
        <f t="shared" si="0"/>
        <v>15803387</v>
      </c>
      <c r="H10" s="5">
        <f t="shared" si="0"/>
        <v>17093751</v>
      </c>
      <c r="I10" s="5">
        <f t="shared" si="0"/>
        <v>20801798</v>
      </c>
      <c r="J10" s="5">
        <f t="shared" si="0"/>
        <v>23128344</v>
      </c>
      <c r="K10" s="5">
        <f t="shared" si="0"/>
        <v>24164991</v>
      </c>
      <c r="L10" s="5">
        <f t="shared" si="0"/>
        <v>26434145</v>
      </c>
    </row>
    <row r="11" spans="1:12" x14ac:dyDescent="0.25">
      <c r="E11" s="5"/>
      <c r="F11" s="5"/>
      <c r="G11" s="5"/>
      <c r="H11" s="5"/>
      <c r="I11" s="5"/>
    </row>
    <row r="12" spans="1:12" x14ac:dyDescent="0.25">
      <c r="A12" t="s">
        <v>34</v>
      </c>
      <c r="E12" s="5">
        <v>6980032</v>
      </c>
      <c r="F12" s="5">
        <v>8465914</v>
      </c>
      <c r="G12" s="5">
        <v>13126857</v>
      </c>
      <c r="H12" s="5">
        <v>13866578</v>
      </c>
      <c r="I12" s="5">
        <v>17053837</v>
      </c>
      <c r="J12" s="5">
        <v>18892158</v>
      </c>
      <c r="K12" s="5">
        <v>19738933</v>
      </c>
      <c r="L12" s="5">
        <v>21592468</v>
      </c>
    </row>
    <row r="13" spans="1:12" x14ac:dyDescent="0.25">
      <c r="A13" t="s">
        <v>35</v>
      </c>
      <c r="E13" s="5">
        <v>1607900</v>
      </c>
      <c r="F13" s="5">
        <v>1989118</v>
      </c>
      <c r="G13" s="5">
        <v>2676530</v>
      </c>
      <c r="H13" s="5">
        <v>3227173</v>
      </c>
      <c r="I13" s="5">
        <v>3747961</v>
      </c>
      <c r="J13" s="11">
        <f>+J10-J12</f>
        <v>4236186</v>
      </c>
      <c r="K13" s="11">
        <f t="shared" ref="K13:L13" si="1">+K10-K12</f>
        <v>4426058</v>
      </c>
      <c r="L13" s="11">
        <f t="shared" si="1"/>
        <v>4841677</v>
      </c>
    </row>
    <row r="14" spans="1:12" x14ac:dyDescent="0.25">
      <c r="A14" t="s">
        <v>36</v>
      </c>
      <c r="E14" s="5">
        <v>15158</v>
      </c>
      <c r="F14" s="5">
        <v>47362</v>
      </c>
      <c r="G14" s="5">
        <v>18428</v>
      </c>
      <c r="H14" s="5">
        <v>28245</v>
      </c>
      <c r="I14" s="5">
        <v>47175</v>
      </c>
      <c r="J14" s="5">
        <v>52732</v>
      </c>
      <c r="K14" s="5">
        <v>55098</v>
      </c>
      <c r="L14" s="5">
        <v>60269</v>
      </c>
    </row>
    <row r="15" spans="1:12" x14ac:dyDescent="0.25">
      <c r="A15" t="s">
        <v>37</v>
      </c>
      <c r="E15" s="5">
        <v>1246078</v>
      </c>
      <c r="F15" s="5">
        <v>1685753</v>
      </c>
      <c r="G15" s="5">
        <v>2025588</v>
      </c>
      <c r="H15" s="5">
        <v>2326161</v>
      </c>
      <c r="I15" s="5">
        <v>2680778</v>
      </c>
      <c r="J15" s="5">
        <v>2980550</v>
      </c>
      <c r="K15" s="5">
        <v>3114201</v>
      </c>
      <c r="L15" s="5">
        <v>3406632</v>
      </c>
    </row>
    <row r="16" spans="1:12" x14ac:dyDescent="0.25">
      <c r="A16" t="s">
        <v>38</v>
      </c>
      <c r="E16" s="5">
        <v>40532</v>
      </c>
      <c r="F16" s="5">
        <v>68530</v>
      </c>
      <c r="G16" s="5">
        <v>91471</v>
      </c>
      <c r="H16" s="5">
        <v>128691</v>
      </c>
      <c r="I16" s="5">
        <v>175878</v>
      </c>
      <c r="J16" s="5">
        <v>269080</v>
      </c>
      <c r="K16" s="5">
        <v>275851</v>
      </c>
      <c r="L16" s="5">
        <v>293865</v>
      </c>
    </row>
    <row r="17" spans="1:12" x14ac:dyDescent="0.25">
      <c r="A17" t="s">
        <v>39</v>
      </c>
      <c r="E17" s="5">
        <v>0</v>
      </c>
      <c r="F17" s="5">
        <v>3274</v>
      </c>
      <c r="G17" s="5">
        <v>16097</v>
      </c>
      <c r="H17" s="5">
        <v>21923</v>
      </c>
      <c r="I17" s="5">
        <v>23434</v>
      </c>
      <c r="J17" s="5">
        <v>27704</v>
      </c>
      <c r="K17" s="5">
        <v>26153</v>
      </c>
      <c r="L17" s="5">
        <v>24689</v>
      </c>
    </row>
    <row r="18" spans="1:12" x14ac:dyDescent="0.25">
      <c r="A18" t="s">
        <v>40</v>
      </c>
      <c r="E18" s="5">
        <v>239179</v>
      </c>
      <c r="F18" s="5">
        <v>227475</v>
      </c>
      <c r="G18" s="5">
        <v>344358</v>
      </c>
      <c r="H18" s="5">
        <v>437550</v>
      </c>
      <c r="I18" s="5">
        <v>518353</v>
      </c>
    </row>
    <row r="19" spans="1:12" x14ac:dyDescent="0.25">
      <c r="A19" t="s">
        <v>42</v>
      </c>
      <c r="E19" s="5">
        <v>-39423</v>
      </c>
      <c r="F19" s="5">
        <v>20655</v>
      </c>
      <c r="G19" s="5">
        <v>63709</v>
      </c>
      <c r="H19" s="5">
        <v>-93057</v>
      </c>
      <c r="I19" s="5">
        <v>-55279</v>
      </c>
    </row>
    <row r="20" spans="1:12" x14ac:dyDescent="0.25">
      <c r="A20" t="s">
        <v>41</v>
      </c>
      <c r="E20" s="5">
        <v>200178</v>
      </c>
      <c r="F20" s="5">
        <v>348092</v>
      </c>
      <c r="G20" s="5">
        <v>229112</v>
      </c>
      <c r="H20" s="5">
        <v>189874</v>
      </c>
      <c r="I20" s="5">
        <v>155237</v>
      </c>
    </row>
    <row r="21" spans="1:12" x14ac:dyDescent="0.25">
      <c r="A21" t="s">
        <v>43</v>
      </c>
      <c r="E21" s="5">
        <v>258024</v>
      </c>
      <c r="F21" s="5">
        <v>420195</v>
      </c>
      <c r="G21" s="5">
        <v>510265</v>
      </c>
      <c r="H21" s="5">
        <v>437910</v>
      </c>
      <c r="I21" s="5">
        <v>496651</v>
      </c>
    </row>
    <row r="22" spans="1:12" x14ac:dyDescent="0.25">
      <c r="A22" t="s">
        <v>44</v>
      </c>
      <c r="E22" s="5">
        <v>5995</v>
      </c>
      <c r="F22" s="5">
        <v>60446</v>
      </c>
      <c r="G22" s="5">
        <v>65697</v>
      </c>
      <c r="H22" s="5">
        <v>34085</v>
      </c>
      <c r="I22" s="5">
        <v>105134</v>
      </c>
    </row>
    <row r="23" spans="1:12" x14ac:dyDescent="0.25">
      <c r="A23" t="s">
        <v>45</v>
      </c>
      <c r="E23" s="5">
        <v>252029</v>
      </c>
      <c r="F23" s="5">
        <v>359749</v>
      </c>
      <c r="G23" s="5">
        <v>444568</v>
      </c>
      <c r="H23" s="5">
        <v>403825</v>
      </c>
      <c r="I23" s="5">
        <v>391517</v>
      </c>
    </row>
    <row r="25" spans="1:12" x14ac:dyDescent="0.25">
      <c r="A25" t="s">
        <v>54</v>
      </c>
      <c r="E25" s="11">
        <f>+E13+E14-E15</f>
        <v>376980</v>
      </c>
      <c r="F25" s="11">
        <f t="shared" ref="F25:L25" si="2">+F13+F14-F15</f>
        <v>350727</v>
      </c>
      <c r="G25" s="11">
        <f t="shared" si="2"/>
        <v>669370</v>
      </c>
      <c r="H25" s="11">
        <f t="shared" si="2"/>
        <v>929257</v>
      </c>
      <c r="I25" s="11">
        <f t="shared" si="2"/>
        <v>1114358</v>
      </c>
      <c r="J25" s="11">
        <f t="shared" si="2"/>
        <v>1308368</v>
      </c>
      <c r="K25" s="11">
        <f t="shared" si="2"/>
        <v>1366955</v>
      </c>
      <c r="L25" s="11">
        <f t="shared" si="2"/>
        <v>1495314</v>
      </c>
    </row>
    <row r="26" spans="1:12" x14ac:dyDescent="0.25">
      <c r="A26" t="s">
        <v>55</v>
      </c>
      <c r="E26" s="11">
        <f>+E16+E17</f>
        <v>40532</v>
      </c>
      <c r="F26" s="11">
        <f t="shared" ref="F26:L26" si="3">+F16+F17</f>
        <v>71804</v>
      </c>
      <c r="G26" s="11">
        <f t="shared" si="3"/>
        <v>107568</v>
      </c>
      <c r="H26" s="11">
        <f t="shared" si="3"/>
        <v>150614</v>
      </c>
      <c r="I26" s="11">
        <f t="shared" si="3"/>
        <v>199312</v>
      </c>
      <c r="J26" s="11">
        <f t="shared" si="3"/>
        <v>296784</v>
      </c>
      <c r="K26" s="11">
        <f t="shared" si="3"/>
        <v>302004</v>
      </c>
      <c r="L26" s="11">
        <f t="shared" si="3"/>
        <v>318554</v>
      </c>
    </row>
    <row r="27" spans="1:12" x14ac:dyDescent="0.25">
      <c r="A27" t="s">
        <v>56</v>
      </c>
      <c r="E27" s="11">
        <f>+E25-E26</f>
        <v>336448</v>
      </c>
      <c r="F27" s="11">
        <f t="shared" ref="F27:L27" si="4">+F25-F26</f>
        <v>278923</v>
      </c>
      <c r="G27" s="11">
        <f t="shared" si="4"/>
        <v>561802</v>
      </c>
      <c r="H27" s="11">
        <f t="shared" si="4"/>
        <v>778643</v>
      </c>
      <c r="I27" s="11">
        <f t="shared" si="4"/>
        <v>915046</v>
      </c>
      <c r="J27" s="11">
        <f t="shared" si="4"/>
        <v>1011584</v>
      </c>
      <c r="K27" s="11">
        <f t="shared" si="4"/>
        <v>1064951</v>
      </c>
      <c r="L27" s="11">
        <f t="shared" si="4"/>
        <v>1176760</v>
      </c>
    </row>
    <row r="28" spans="1:12" x14ac:dyDescent="0.25">
      <c r="A28" t="s">
        <v>57</v>
      </c>
      <c r="D28">
        <v>0.17</v>
      </c>
      <c r="E28" s="11">
        <f>+E27-E22</f>
        <v>330453</v>
      </c>
      <c r="F28" s="11">
        <f t="shared" ref="F28:I28" si="5">+F27-F22</f>
        <v>218477</v>
      </c>
      <c r="G28" s="11">
        <f t="shared" si="5"/>
        <v>496105</v>
      </c>
      <c r="H28" s="11">
        <f t="shared" si="5"/>
        <v>744558</v>
      </c>
      <c r="I28" s="11">
        <f t="shared" si="5"/>
        <v>809912</v>
      </c>
      <c r="J28" s="12">
        <f>+J27-$D$28*J27</f>
        <v>839614.72</v>
      </c>
      <c r="K28" s="12">
        <f t="shared" ref="K28:L28" si="6">+K27-$D$28*K27</f>
        <v>883909.33</v>
      </c>
      <c r="L28" s="12">
        <f t="shared" si="6"/>
        <v>976710.8</v>
      </c>
    </row>
    <row r="31" spans="1:12" x14ac:dyDescent="0.25">
      <c r="A31" s="8" t="s">
        <v>58</v>
      </c>
    </row>
    <row r="33" spans="1:12" x14ac:dyDescent="0.25">
      <c r="E33" s="4" t="s">
        <v>46</v>
      </c>
      <c r="F33" s="4" t="s">
        <v>47</v>
      </c>
      <c r="G33" s="4" t="s">
        <v>48</v>
      </c>
      <c r="H33" s="4" t="s">
        <v>49</v>
      </c>
      <c r="I33" s="4" t="s">
        <v>50</v>
      </c>
      <c r="J33" s="4" t="s">
        <v>51</v>
      </c>
      <c r="K33" s="4" t="s">
        <v>52</v>
      </c>
      <c r="L33" s="4" t="s">
        <v>53</v>
      </c>
    </row>
    <row r="34" spans="1:12" x14ac:dyDescent="0.25">
      <c r="A34" t="s">
        <v>59</v>
      </c>
    </row>
    <row r="35" spans="1:12" x14ac:dyDescent="0.25">
      <c r="A35" t="s">
        <v>60</v>
      </c>
      <c r="E35">
        <v>533818</v>
      </c>
      <c r="F35">
        <v>671543</v>
      </c>
      <c r="G35">
        <v>872247</v>
      </c>
      <c r="H35">
        <v>1110856</v>
      </c>
      <c r="I35">
        <v>1630666</v>
      </c>
    </row>
    <row r="36" spans="1:12" x14ac:dyDescent="0.25">
      <c r="A36" t="s">
        <v>61</v>
      </c>
      <c r="E36">
        <f>732500+2244102+116931-439175-166325</f>
        <v>2488033</v>
      </c>
      <c r="F36">
        <f>976781+2821830+103384-396153-240728</f>
        <v>3265114</v>
      </c>
      <c r="G36">
        <f>1595446+3806351+164888-613112-463730</f>
        <v>4489843</v>
      </c>
      <c r="H36">
        <f>1596796+4730570+298825-678331-408743</f>
        <v>5539117</v>
      </c>
      <c r="I36">
        <f>2372900+4752741+243652-1188242-571178</f>
        <v>5609873</v>
      </c>
      <c r="J36">
        <f>2638279+5265063+270832-1316343-635104</f>
        <v>6222727</v>
      </c>
      <c r="K36">
        <f>2756530+5501051+282972-1375344-663570</f>
        <v>6501639</v>
      </c>
      <c r="L36">
        <f>3015375+6017613+309543-1504492-725881</f>
        <v>7112158</v>
      </c>
    </row>
    <row r="37" spans="1:12" x14ac:dyDescent="0.25">
      <c r="A37" t="s">
        <v>62</v>
      </c>
      <c r="E37">
        <v>211088</v>
      </c>
      <c r="F37">
        <v>271521</v>
      </c>
      <c r="G37">
        <v>251274</v>
      </c>
      <c r="H37">
        <v>271465</v>
      </c>
      <c r="I37">
        <v>238380</v>
      </c>
      <c r="J37">
        <v>265057</v>
      </c>
      <c r="K37">
        <v>276937</v>
      </c>
      <c r="L37">
        <v>302942</v>
      </c>
    </row>
    <row r="38" spans="1:12" x14ac:dyDescent="0.25">
      <c r="A38" t="s">
        <v>63</v>
      </c>
      <c r="E38">
        <v>428691</v>
      </c>
      <c r="F38">
        <v>827836</v>
      </c>
      <c r="G38">
        <v>2909233</v>
      </c>
      <c r="H38">
        <v>1377217</v>
      </c>
      <c r="I38">
        <v>637031</v>
      </c>
      <c r="J38">
        <v>708189</v>
      </c>
      <c r="K38">
        <v>739932</v>
      </c>
      <c r="L38">
        <v>809413</v>
      </c>
    </row>
    <row r="39" spans="1:12" x14ac:dyDescent="0.25">
      <c r="E39">
        <f>+SUM(E35:E38)</f>
        <v>3661630</v>
      </c>
      <c r="F39">
        <f t="shared" ref="F39:I39" si="7">+SUM(F35:F38)</f>
        <v>5036014</v>
      </c>
      <c r="G39">
        <f t="shared" si="7"/>
        <v>8522597</v>
      </c>
      <c r="H39">
        <f t="shared" si="7"/>
        <v>8298655</v>
      </c>
      <c r="I39">
        <f t="shared" si="7"/>
        <v>8115950</v>
      </c>
    </row>
    <row r="40" spans="1:12" x14ac:dyDescent="0.25">
      <c r="A40" t="s">
        <v>64</v>
      </c>
      <c r="E40">
        <v>647102</v>
      </c>
      <c r="F40">
        <v>1221258</v>
      </c>
      <c r="G40">
        <v>1802701</v>
      </c>
      <c r="H40">
        <v>2978814</v>
      </c>
      <c r="I40">
        <v>3932825</v>
      </c>
    </row>
    <row r="41" spans="1:12" x14ac:dyDescent="0.25">
      <c r="A41" t="s">
        <v>65</v>
      </c>
      <c r="E41">
        <v>113139</v>
      </c>
      <c r="F41">
        <v>167092</v>
      </c>
      <c r="G41">
        <v>225986</v>
      </c>
      <c r="H41">
        <v>357819</v>
      </c>
      <c r="I41">
        <v>505050</v>
      </c>
    </row>
    <row r="42" spans="1:12" x14ac:dyDescent="0.25">
      <c r="A42" t="s">
        <v>66</v>
      </c>
      <c r="E42">
        <f>+E40-E41</f>
        <v>533963</v>
      </c>
      <c r="F42">
        <f t="shared" ref="F42:I42" si="8">+F40-F41</f>
        <v>1054166</v>
      </c>
      <c r="G42">
        <f t="shared" si="8"/>
        <v>1576715</v>
      </c>
      <c r="H42">
        <f t="shared" si="8"/>
        <v>2620995</v>
      </c>
      <c r="I42">
        <f t="shared" si="8"/>
        <v>3427775</v>
      </c>
      <c r="J42">
        <v>3514030</v>
      </c>
      <c r="K42">
        <v>3743515</v>
      </c>
      <c r="L42">
        <v>3919873</v>
      </c>
    </row>
    <row r="43" spans="1:12" x14ac:dyDescent="0.25">
      <c r="A43" t="s">
        <v>68</v>
      </c>
      <c r="E43">
        <v>0</v>
      </c>
      <c r="F43">
        <v>181883</v>
      </c>
      <c r="G43">
        <v>453168</v>
      </c>
      <c r="H43">
        <v>631339</v>
      </c>
      <c r="I43">
        <v>781742</v>
      </c>
    </row>
    <row r="44" spans="1:12" x14ac:dyDescent="0.25">
      <c r="A44" t="s">
        <v>82</v>
      </c>
      <c r="E44">
        <v>100184</v>
      </c>
      <c r="F44">
        <v>97280</v>
      </c>
      <c r="G44">
        <v>95382</v>
      </c>
      <c r="H44">
        <v>149356</v>
      </c>
      <c r="I44">
        <v>191531</v>
      </c>
      <c r="J44">
        <v>191531</v>
      </c>
      <c r="K44">
        <v>191531</v>
      </c>
      <c r="L44">
        <v>191531</v>
      </c>
    </row>
    <row r="45" spans="1:12" x14ac:dyDescent="0.25">
      <c r="A45" t="s">
        <v>67</v>
      </c>
      <c r="E45">
        <v>27354</v>
      </c>
      <c r="F45">
        <v>244306</v>
      </c>
      <c r="G45">
        <v>390556</v>
      </c>
      <c r="H45">
        <v>510801</v>
      </c>
      <c r="I45">
        <v>494985</v>
      </c>
      <c r="J45">
        <v>467280</v>
      </c>
      <c r="K45">
        <v>441126</v>
      </c>
      <c r="L45">
        <v>416437</v>
      </c>
    </row>
    <row r="46" spans="1:12" x14ac:dyDescent="0.25">
      <c r="A46" t="s">
        <v>69</v>
      </c>
      <c r="E46">
        <v>400927</v>
      </c>
      <c r="F46">
        <v>485989</v>
      </c>
      <c r="G46">
        <v>411819</v>
      </c>
      <c r="H46">
        <v>482864</v>
      </c>
      <c r="I46">
        <v>557693</v>
      </c>
    </row>
    <row r="47" spans="1:12" x14ac:dyDescent="0.25">
      <c r="A47" t="s">
        <v>70</v>
      </c>
      <c r="E47">
        <f>74704+11154</f>
        <v>85858</v>
      </c>
      <c r="F47">
        <f>63978+4161</f>
        <v>68139</v>
      </c>
      <c r="G47">
        <f>43053+10004</f>
        <v>53057</v>
      </c>
      <c r="H47">
        <f>37735+9163</f>
        <v>46898</v>
      </c>
      <c r="I47">
        <f>34832+20256</f>
        <v>55088</v>
      </c>
    </row>
    <row r="48" spans="1:12" x14ac:dyDescent="0.25">
      <c r="E48">
        <f>+E39+E42+E43+E45+E46+E47+E44</f>
        <v>4809916</v>
      </c>
      <c r="F48">
        <f t="shared" ref="F48:I48" si="9">+F39+F42+F43+F45+F46+F47+F44</f>
        <v>7167777</v>
      </c>
      <c r="G48">
        <f t="shared" si="9"/>
        <v>11503294</v>
      </c>
      <c r="H48">
        <f t="shared" si="9"/>
        <v>12740908</v>
      </c>
      <c r="I48">
        <f t="shared" si="9"/>
        <v>13624764</v>
      </c>
    </row>
    <row r="50" spans="1:12" x14ac:dyDescent="0.25">
      <c r="A50" t="s">
        <v>71</v>
      </c>
    </row>
    <row r="51" spans="1:12" x14ac:dyDescent="0.25">
      <c r="A51" t="s">
        <v>72</v>
      </c>
      <c r="E51">
        <v>265141</v>
      </c>
      <c r="F51">
        <v>167611</v>
      </c>
      <c r="G51">
        <v>437169</v>
      </c>
      <c r="H51">
        <v>445664</v>
      </c>
      <c r="I51">
        <v>261147</v>
      </c>
    </row>
    <row r="52" spans="1:12" x14ac:dyDescent="0.25">
      <c r="A52" t="s">
        <v>73</v>
      </c>
      <c r="E52">
        <v>1732504</v>
      </c>
      <c r="F52">
        <v>2127957</v>
      </c>
      <c r="G52">
        <v>3172874</v>
      </c>
      <c r="H52">
        <v>2702669</v>
      </c>
      <c r="I52">
        <v>2704412</v>
      </c>
    </row>
    <row r="53" spans="1:12" x14ac:dyDescent="0.25">
      <c r="A53" t="s">
        <v>81</v>
      </c>
      <c r="E53">
        <v>527021</v>
      </c>
      <c r="F53">
        <v>753127</v>
      </c>
      <c r="G53">
        <v>2443079</v>
      </c>
      <c r="H53">
        <v>1529691</v>
      </c>
      <c r="I53">
        <v>711921</v>
      </c>
      <c r="J53">
        <v>791452</v>
      </c>
      <c r="K53">
        <v>826926</v>
      </c>
      <c r="L53">
        <v>904576</v>
      </c>
    </row>
    <row r="54" spans="1:12" x14ac:dyDescent="0.25">
      <c r="E54">
        <f>+SUM(E51:E53)</f>
        <v>2524666</v>
      </c>
      <c r="F54">
        <f t="shared" ref="F54:I54" si="10">+SUM(F51:F53)</f>
        <v>3048695</v>
      </c>
      <c r="G54">
        <f t="shared" si="10"/>
        <v>6053122</v>
      </c>
      <c r="H54">
        <f t="shared" si="10"/>
        <v>4678024</v>
      </c>
      <c r="I54">
        <f t="shared" si="10"/>
        <v>3677480</v>
      </c>
    </row>
    <row r="55" spans="1:12" x14ac:dyDescent="0.25">
      <c r="A55" t="s">
        <v>74</v>
      </c>
      <c r="E55">
        <v>1176546</v>
      </c>
      <c r="F55">
        <v>2207436</v>
      </c>
      <c r="G55">
        <f>2948971+21556</f>
        <v>2970527</v>
      </c>
      <c r="H55">
        <f>4311322+29729</f>
        <v>4341051</v>
      </c>
      <c r="I55">
        <f>5861116+21563</f>
        <v>5882679</v>
      </c>
    </row>
    <row r="56" spans="1:12" x14ac:dyDescent="0.25">
      <c r="A56" t="s">
        <v>75</v>
      </c>
      <c r="E56">
        <v>62812</v>
      </c>
      <c r="F56">
        <v>140861</v>
      </c>
      <c r="G56">
        <v>177283</v>
      </c>
      <c r="H56">
        <v>194071</v>
      </c>
      <c r="I56">
        <v>240877</v>
      </c>
    </row>
    <row r="57" spans="1:12" x14ac:dyDescent="0.25">
      <c r="E57">
        <f>+E54+E55+E56</f>
        <v>3764024</v>
      </c>
      <c r="F57">
        <f t="shared" ref="F57:I57" si="11">+F54+F55+F56</f>
        <v>5396992</v>
      </c>
      <c r="G57">
        <f t="shared" si="11"/>
        <v>9200932</v>
      </c>
      <c r="H57">
        <f t="shared" si="11"/>
        <v>9213146</v>
      </c>
      <c r="I57">
        <f t="shared" si="11"/>
        <v>9801036</v>
      </c>
    </row>
    <row r="58" spans="1:12" x14ac:dyDescent="0.25">
      <c r="A58" t="s">
        <v>76</v>
      </c>
    </row>
    <row r="59" spans="1:12" x14ac:dyDescent="0.25">
      <c r="A59" t="s">
        <v>77</v>
      </c>
      <c r="E59">
        <v>708586</v>
      </c>
      <c r="F59">
        <v>1201581</v>
      </c>
      <c r="G59">
        <v>1577110</v>
      </c>
      <c r="H59">
        <v>2077038</v>
      </c>
      <c r="I59">
        <v>2077038</v>
      </c>
    </row>
    <row r="60" spans="1:12" x14ac:dyDescent="0.25">
      <c r="A60" t="s">
        <v>78</v>
      </c>
      <c r="H60">
        <v>276886</v>
      </c>
      <c r="I60">
        <v>276886</v>
      </c>
    </row>
    <row r="61" spans="1:12" x14ac:dyDescent="0.25">
      <c r="A61" t="s">
        <v>79</v>
      </c>
      <c r="E61">
        <v>337260</v>
      </c>
      <c r="F61">
        <v>570348</v>
      </c>
      <c r="G61">
        <v>668232</v>
      </c>
      <c r="H61">
        <v>1147767</v>
      </c>
      <c r="I61">
        <v>1433964</v>
      </c>
    </row>
    <row r="62" spans="1:12" x14ac:dyDescent="0.25">
      <c r="A62" t="s">
        <v>80</v>
      </c>
      <c r="E62">
        <v>46</v>
      </c>
      <c r="F62">
        <v>-1144</v>
      </c>
      <c r="G62">
        <v>57020</v>
      </c>
      <c r="H62">
        <v>122152</v>
      </c>
      <c r="I62">
        <v>131868</v>
      </c>
    </row>
    <row r="63" spans="1:12" x14ac:dyDescent="0.25">
      <c r="H63">
        <v>-96081</v>
      </c>
      <c r="I63">
        <v>-96081</v>
      </c>
    </row>
    <row r="64" spans="1:12" x14ac:dyDescent="0.25">
      <c r="E64">
        <f>+SUM(E59:E63)</f>
        <v>1045892</v>
      </c>
      <c r="F64">
        <f t="shared" ref="F64:I64" si="12">+SUM(F59:F63)</f>
        <v>1770785</v>
      </c>
      <c r="G64">
        <f t="shared" si="12"/>
        <v>2302362</v>
      </c>
      <c r="H64">
        <f t="shared" si="12"/>
        <v>3527762</v>
      </c>
      <c r="I64">
        <f t="shared" si="12"/>
        <v>3823675</v>
      </c>
    </row>
    <row r="65" spans="5:9" x14ac:dyDescent="0.25">
      <c r="E65">
        <f>+E57+E64</f>
        <v>4809916</v>
      </c>
      <c r="F65">
        <f t="shared" ref="F65:I65" si="13">+F57+F64</f>
        <v>7167777</v>
      </c>
      <c r="G65">
        <f t="shared" si="13"/>
        <v>11503294</v>
      </c>
      <c r="H65">
        <f t="shared" si="13"/>
        <v>12740908</v>
      </c>
      <c r="I65">
        <f t="shared" si="13"/>
        <v>13624711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4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46" sqref="I46"/>
    </sheetView>
  </sheetViews>
  <sheetFormatPr baseColWidth="10" defaultColWidth="9.140625" defaultRowHeight="15" x14ac:dyDescent="0.25"/>
  <cols>
    <col min="5" max="6" width="14.140625" bestFit="1" customWidth="1"/>
    <col min="7" max="7" width="11.28515625" customWidth="1"/>
    <col min="8" max="8" width="15.140625" bestFit="1" customWidth="1"/>
    <col min="9" max="9" width="11.5703125" customWidth="1"/>
    <col min="10" max="12" width="14.140625" bestFit="1" customWidth="1"/>
    <col min="13" max="13" width="16" customWidth="1"/>
    <col min="14" max="19" width="14.140625" bestFit="1" customWidth="1"/>
    <col min="23" max="25" width="11.5703125" bestFit="1" customWidth="1"/>
    <col min="26" max="32" width="11.7109375" bestFit="1" customWidth="1"/>
  </cols>
  <sheetData>
    <row r="1" spans="1:32" x14ac:dyDescent="0.25">
      <c r="A1" s="8" t="s">
        <v>27</v>
      </c>
    </row>
    <row r="3" spans="1:32" x14ac:dyDescent="0.25"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  <c r="J3" s="4" t="s">
        <v>51</v>
      </c>
      <c r="K3" s="4" t="s">
        <v>52</v>
      </c>
      <c r="L3" s="4" t="s">
        <v>53</v>
      </c>
      <c r="M3" s="4" t="s">
        <v>116</v>
      </c>
      <c r="N3" s="4" t="s">
        <v>117</v>
      </c>
      <c r="O3" s="4" t="s">
        <v>118</v>
      </c>
      <c r="P3" s="4" t="s">
        <v>119</v>
      </c>
      <c r="Q3" s="4" t="s">
        <v>120</v>
      </c>
      <c r="R3" s="4" t="s">
        <v>121</v>
      </c>
      <c r="S3" s="4" t="s">
        <v>122</v>
      </c>
      <c r="W3" t="s">
        <v>123</v>
      </c>
    </row>
    <row r="4" spans="1:32" x14ac:dyDescent="0.25">
      <c r="A4" t="s">
        <v>28</v>
      </c>
      <c r="W4">
        <v>2017</v>
      </c>
      <c r="X4">
        <v>2018</v>
      </c>
      <c r="Y4">
        <v>2019</v>
      </c>
      <c r="Z4">
        <v>2020</v>
      </c>
      <c r="AA4">
        <v>2021</v>
      </c>
      <c r="AB4">
        <v>2022</v>
      </c>
      <c r="AC4">
        <v>2023</v>
      </c>
    </row>
    <row r="5" spans="1:32" x14ac:dyDescent="0.25">
      <c r="A5" t="s">
        <v>29</v>
      </c>
      <c r="E5" s="5">
        <v>1200076</v>
      </c>
      <c r="F5" s="5">
        <v>1489434</v>
      </c>
      <c r="G5" s="5">
        <v>2183158</v>
      </c>
      <c r="H5" s="5">
        <v>2562755</v>
      </c>
      <c r="I5" s="5">
        <v>3205127</v>
      </c>
      <c r="J5" s="5">
        <v>3733731</v>
      </c>
      <c r="K5" s="5">
        <v>3908332</v>
      </c>
      <c r="L5" s="5">
        <v>4262736</v>
      </c>
      <c r="M5" s="12">
        <f>L5*(1+W5)</f>
        <v>4689009.6000000006</v>
      </c>
      <c r="N5" s="12">
        <f t="shared" ref="N5:S9" si="0">M5*(1+X5)</f>
        <v>5157910.5600000015</v>
      </c>
      <c r="O5" s="12">
        <f t="shared" si="0"/>
        <v>5601490.8681600019</v>
      </c>
      <c r="P5" s="12">
        <f t="shared" si="0"/>
        <v>6004798.2106675226</v>
      </c>
      <c r="Q5" s="12">
        <f t="shared" si="0"/>
        <v>6353076.5068862392</v>
      </c>
      <c r="R5" s="12">
        <f t="shared" si="0"/>
        <v>6632611.8731892342</v>
      </c>
      <c r="S5" s="12">
        <f t="shared" si="0"/>
        <v>6831590.2293849112</v>
      </c>
      <c r="W5">
        <v>0.1</v>
      </c>
      <c r="X5">
        <v>0.1</v>
      </c>
      <c r="Y5">
        <v>8.5999999999999993E-2</v>
      </c>
      <c r="Z5">
        <v>7.1999999999999995E-2</v>
      </c>
      <c r="AA5">
        <v>5.8000000000000003E-2</v>
      </c>
      <c r="AB5">
        <v>4.3999999999999997E-2</v>
      </c>
      <c r="AC5">
        <v>0.03</v>
      </c>
    </row>
    <row r="6" spans="1:32" x14ac:dyDescent="0.25">
      <c r="A6" t="s">
        <v>30</v>
      </c>
      <c r="E6" s="5">
        <v>3783126</v>
      </c>
      <c r="F6" s="5">
        <v>4080307</v>
      </c>
      <c r="G6" s="5">
        <v>6361459</v>
      </c>
      <c r="H6" s="5">
        <v>5902203</v>
      </c>
      <c r="I6" s="5">
        <v>5273235</v>
      </c>
      <c r="J6" s="5">
        <v>5213834</v>
      </c>
      <c r="K6" s="5">
        <v>5349935</v>
      </c>
      <c r="L6" s="5">
        <v>5699737</v>
      </c>
      <c r="M6" s="12">
        <f t="shared" ref="M6:M9" si="1">L6*(1+W6)</f>
        <v>5836530.6880000001</v>
      </c>
      <c r="N6" s="12">
        <f t="shared" si="0"/>
        <v>5976607.4245119998</v>
      </c>
      <c r="O6" s="12">
        <f t="shared" si="0"/>
        <v>6127217.9316097014</v>
      </c>
      <c r="P6" s="12">
        <f t="shared" si="0"/>
        <v>6288976.4850041978</v>
      </c>
      <c r="Q6" s="12">
        <f t="shared" si="0"/>
        <v>6462552.2359903138</v>
      </c>
      <c r="R6" s="12">
        <f t="shared" si="0"/>
        <v>6648673.7403868344</v>
      </c>
      <c r="S6" s="12">
        <f t="shared" si="0"/>
        <v>6848133.9525984395</v>
      </c>
      <c r="W6">
        <v>2.4E-2</v>
      </c>
      <c r="X6">
        <v>2.4E-2</v>
      </c>
      <c r="Y6">
        <v>2.52E-2</v>
      </c>
      <c r="Z6">
        <v>2.64E-2</v>
      </c>
      <c r="AA6">
        <v>2.76E-2</v>
      </c>
      <c r="AB6">
        <v>2.8799999999999999E-2</v>
      </c>
      <c r="AC6">
        <v>0.03</v>
      </c>
    </row>
    <row r="7" spans="1:32" x14ac:dyDescent="0.25">
      <c r="A7" t="s">
        <v>31</v>
      </c>
      <c r="E7" s="5">
        <v>2139621</v>
      </c>
      <c r="F7" s="5">
        <v>2589545</v>
      </c>
      <c r="G7" s="5">
        <v>3466623</v>
      </c>
      <c r="H7" s="5">
        <v>4586435</v>
      </c>
      <c r="I7" s="5">
        <v>7720913</v>
      </c>
      <c r="J7" s="5">
        <v>9021015</v>
      </c>
      <c r="K7" s="5">
        <v>9638616</v>
      </c>
      <c r="L7" s="5">
        <v>10886518</v>
      </c>
      <c r="M7" s="12">
        <f t="shared" si="1"/>
        <v>12203786.677999999</v>
      </c>
      <c r="N7" s="12">
        <f t="shared" si="0"/>
        <v>13680444.866037998</v>
      </c>
      <c r="O7" s="12">
        <f t="shared" si="0"/>
        <v>15086794.598266704</v>
      </c>
      <c r="P7" s="12">
        <f t="shared" si="0"/>
        <v>16363137.421280067</v>
      </c>
      <c r="Q7" s="12">
        <f t="shared" si="0"/>
        <v>17449649.746053062</v>
      </c>
      <c r="R7" s="12">
        <f t="shared" si="0"/>
        <v>18290722.863812819</v>
      </c>
      <c r="S7" s="12">
        <f t="shared" si="0"/>
        <v>18839444.549727205</v>
      </c>
      <c r="W7">
        <v>0.121</v>
      </c>
      <c r="X7">
        <v>0.121</v>
      </c>
      <c r="Y7">
        <v>0.1028</v>
      </c>
      <c r="Z7">
        <v>8.4599999999999995E-2</v>
      </c>
      <c r="AA7">
        <v>6.6400000000000001E-2</v>
      </c>
      <c r="AB7">
        <v>4.82E-2</v>
      </c>
      <c r="AC7">
        <v>0.03</v>
      </c>
    </row>
    <row r="8" spans="1:32" x14ac:dyDescent="0.25">
      <c r="A8" t="s">
        <v>32</v>
      </c>
      <c r="E8" s="5">
        <v>1465109</v>
      </c>
      <c r="F8" s="5">
        <v>2295746</v>
      </c>
      <c r="G8" s="5">
        <v>3790018</v>
      </c>
      <c r="H8" s="5">
        <v>4040810</v>
      </c>
      <c r="I8" s="5">
        <v>4601099</v>
      </c>
      <c r="J8" s="5">
        <v>5158298</v>
      </c>
      <c r="K8" s="5">
        <v>5266598</v>
      </c>
      <c r="L8" s="5">
        <v>5583598</v>
      </c>
      <c r="M8" s="12">
        <f t="shared" si="1"/>
        <v>5957699.0659999996</v>
      </c>
      <c r="N8" s="12">
        <f t="shared" si="0"/>
        <v>6356864.903421999</v>
      </c>
      <c r="O8" s="12">
        <f t="shared" si="0"/>
        <v>6735734.0516659506</v>
      </c>
      <c r="P8" s="12">
        <f t="shared" si="0"/>
        <v>7087339.3691629134</v>
      </c>
      <c r="Q8" s="12">
        <f t="shared" si="0"/>
        <v>7404852.1729014115</v>
      </c>
      <c r="R8" s="12">
        <f t="shared" si="0"/>
        <v>7681793.6441679252</v>
      </c>
      <c r="S8" s="12">
        <f t="shared" si="0"/>
        <v>7912247.4534929628</v>
      </c>
      <c r="W8">
        <v>6.7000000000000004E-2</v>
      </c>
      <c r="X8">
        <v>6.7000000000000004E-2</v>
      </c>
      <c r="Y8">
        <v>5.96E-2</v>
      </c>
      <c r="Z8">
        <v>5.2200000000000003E-2</v>
      </c>
      <c r="AA8">
        <v>4.48E-2</v>
      </c>
      <c r="AB8">
        <v>3.7400000000000003E-2</v>
      </c>
      <c r="AC8">
        <v>0.03</v>
      </c>
    </row>
    <row r="9" spans="1:32" x14ac:dyDescent="0.25">
      <c r="A9" t="s">
        <v>33</v>
      </c>
      <c r="E9" s="5">
        <v>0</v>
      </c>
      <c r="F9" s="5">
        <v>0</v>
      </c>
      <c r="G9" s="5">
        <v>2129</v>
      </c>
      <c r="H9" s="5">
        <v>1548</v>
      </c>
      <c r="I9" s="5">
        <v>1424</v>
      </c>
      <c r="J9" s="5">
        <v>1466</v>
      </c>
      <c r="K9" s="5">
        <v>1510</v>
      </c>
      <c r="L9" s="5">
        <v>1556</v>
      </c>
      <c r="M9" s="12">
        <f t="shared" si="1"/>
        <v>1602.68</v>
      </c>
      <c r="N9" s="12">
        <f t="shared" si="0"/>
        <v>1650.7604000000001</v>
      </c>
      <c r="O9" s="12">
        <f t="shared" si="0"/>
        <v>1700.2832120000003</v>
      </c>
      <c r="P9" s="12">
        <f t="shared" si="0"/>
        <v>1751.2917083600003</v>
      </c>
      <c r="Q9" s="12">
        <f t="shared" si="0"/>
        <v>1803.8304596108003</v>
      </c>
      <c r="R9" s="12">
        <f t="shared" si="0"/>
        <v>1857.9453733991243</v>
      </c>
      <c r="S9" s="12">
        <f t="shared" si="0"/>
        <v>1913.683734601098</v>
      </c>
      <c r="W9">
        <v>0.03</v>
      </c>
      <c r="X9">
        <v>0.03</v>
      </c>
      <c r="Y9">
        <v>0.03</v>
      </c>
      <c r="Z9">
        <v>0.03</v>
      </c>
      <c r="AA9">
        <v>0.03</v>
      </c>
      <c r="AB9">
        <v>0.03</v>
      </c>
      <c r="AC9">
        <v>0.03</v>
      </c>
    </row>
    <row r="10" spans="1:32" x14ac:dyDescent="0.25">
      <c r="B10" t="s">
        <v>94</v>
      </c>
      <c r="E10" s="5">
        <f>+SUM(E5:E9)</f>
        <v>8587932</v>
      </c>
      <c r="F10" s="5">
        <f t="shared" ref="F10:S10" si="2">+SUM(F5:F9)</f>
        <v>10455032</v>
      </c>
      <c r="G10" s="5">
        <f t="shared" si="2"/>
        <v>15803387</v>
      </c>
      <c r="H10" s="5">
        <f t="shared" si="2"/>
        <v>17093751</v>
      </c>
      <c r="I10" s="5">
        <f t="shared" si="2"/>
        <v>20801798</v>
      </c>
      <c r="J10" s="5">
        <f t="shared" si="2"/>
        <v>23128344</v>
      </c>
      <c r="K10" s="5">
        <f t="shared" si="2"/>
        <v>24164991</v>
      </c>
      <c r="L10" s="5">
        <f t="shared" si="2"/>
        <v>26434145</v>
      </c>
      <c r="M10" s="5">
        <f t="shared" si="2"/>
        <v>28688628.711999997</v>
      </c>
      <c r="N10" s="5">
        <f t="shared" si="2"/>
        <v>31173478.514371999</v>
      </c>
      <c r="O10" s="5">
        <f t="shared" si="2"/>
        <v>33552937.732914355</v>
      </c>
      <c r="P10" s="5">
        <f t="shared" si="2"/>
        <v>35746002.777823053</v>
      </c>
      <c r="Q10" s="5">
        <f t="shared" si="2"/>
        <v>37671934.492290638</v>
      </c>
      <c r="R10" s="5">
        <f t="shared" si="2"/>
        <v>39255660.066930212</v>
      </c>
      <c r="S10" s="5">
        <f t="shared" si="2"/>
        <v>40433329.868938126</v>
      </c>
    </row>
    <row r="11" spans="1:32" x14ac:dyDescent="0.25">
      <c r="E11" s="5"/>
      <c r="F11" s="5"/>
      <c r="G11" s="5"/>
      <c r="H11" s="5"/>
      <c r="I11" s="5"/>
      <c r="W11" t="s">
        <v>124</v>
      </c>
    </row>
    <row r="12" spans="1:32" x14ac:dyDescent="0.25">
      <c r="A12" t="s">
        <v>34</v>
      </c>
      <c r="E12" s="5">
        <v>6980032</v>
      </c>
      <c r="F12" s="5">
        <v>8465914</v>
      </c>
      <c r="G12" s="5">
        <v>13126857</v>
      </c>
      <c r="H12" s="5">
        <v>13866578</v>
      </c>
      <c r="I12" s="5">
        <v>17053837</v>
      </c>
      <c r="J12" s="5">
        <v>18892158</v>
      </c>
      <c r="K12" s="5">
        <v>19738933</v>
      </c>
      <c r="L12" s="5">
        <v>21592468</v>
      </c>
      <c r="M12" s="11">
        <f>M10*0.81684</f>
        <v>23434019.477110077</v>
      </c>
      <c r="N12" s="11">
        <f t="shared" ref="N12:S12" si="3">N10*0.81684</f>
        <v>25463744.189679623</v>
      </c>
      <c r="O12" s="11">
        <f t="shared" si="3"/>
        <v>27407381.657753762</v>
      </c>
      <c r="P12" s="11">
        <f t="shared" si="3"/>
        <v>29198764.909036983</v>
      </c>
      <c r="Q12" s="11">
        <f t="shared" si="3"/>
        <v>30771942.970682684</v>
      </c>
      <c r="R12" s="11">
        <f t="shared" si="3"/>
        <v>32065593.369071275</v>
      </c>
      <c r="S12" s="11">
        <f t="shared" si="3"/>
        <v>33027561.170143418</v>
      </c>
      <c r="W12">
        <v>2014</v>
      </c>
      <c r="X12">
        <v>2015</v>
      </c>
      <c r="Y12">
        <v>2016</v>
      </c>
      <c r="Z12">
        <v>2017</v>
      </c>
      <c r="AA12">
        <v>2018</v>
      </c>
      <c r="AB12">
        <v>2019</v>
      </c>
      <c r="AC12">
        <v>2020</v>
      </c>
      <c r="AD12">
        <v>2021</v>
      </c>
      <c r="AE12">
        <v>2022</v>
      </c>
      <c r="AF12">
        <v>2023</v>
      </c>
    </row>
    <row r="13" spans="1:32" x14ac:dyDescent="0.25">
      <c r="A13" t="s">
        <v>35</v>
      </c>
      <c r="E13" s="5">
        <v>1607900</v>
      </c>
      <c r="F13" s="5">
        <v>1989118</v>
      </c>
      <c r="G13" s="5">
        <v>2676530</v>
      </c>
      <c r="H13" s="5">
        <v>3227173</v>
      </c>
      <c r="I13" s="5">
        <v>3747961</v>
      </c>
      <c r="J13" s="11">
        <f>+J10-J12</f>
        <v>4236186</v>
      </c>
      <c r="K13" s="11">
        <f t="shared" ref="K13:S13" si="4">+K10-K12</f>
        <v>4426058</v>
      </c>
      <c r="L13" s="11">
        <f t="shared" si="4"/>
        <v>4841677</v>
      </c>
      <c r="M13" s="11">
        <f t="shared" si="4"/>
        <v>5254609.2348899208</v>
      </c>
      <c r="N13" s="11">
        <f t="shared" si="4"/>
        <v>5709734.324692376</v>
      </c>
      <c r="O13" s="11">
        <f t="shared" si="4"/>
        <v>6145556.0751605928</v>
      </c>
      <c r="P13" s="11">
        <f t="shared" si="4"/>
        <v>6547237.8687860705</v>
      </c>
      <c r="Q13" s="11">
        <f t="shared" si="4"/>
        <v>6899991.5216079541</v>
      </c>
      <c r="R13" s="11">
        <f t="shared" si="4"/>
        <v>7190066.6978589371</v>
      </c>
      <c r="S13" s="11">
        <f t="shared" si="4"/>
        <v>7405768.6987947077</v>
      </c>
      <c r="W13" s="5">
        <v>750000</v>
      </c>
      <c r="X13" s="5">
        <v>750000</v>
      </c>
      <c r="Y13" s="5">
        <v>500000</v>
      </c>
      <c r="Z13" s="5">
        <f>M10*0.02</f>
        <v>573772.57423999999</v>
      </c>
      <c r="AA13" s="5">
        <f t="shared" ref="AA13:AF13" si="5">N10*0.02</f>
        <v>623469.57028743997</v>
      </c>
      <c r="AB13" s="5">
        <f t="shared" si="5"/>
        <v>671058.75465828716</v>
      </c>
      <c r="AC13" s="5">
        <f t="shared" si="5"/>
        <v>714920.0555564611</v>
      </c>
      <c r="AD13" s="5">
        <f t="shared" si="5"/>
        <v>753438.68984581274</v>
      </c>
      <c r="AE13" s="5">
        <f t="shared" si="5"/>
        <v>785113.20133860421</v>
      </c>
      <c r="AF13" s="5">
        <f t="shared" si="5"/>
        <v>808666.59737876256</v>
      </c>
    </row>
    <row r="14" spans="1:32" x14ac:dyDescent="0.25">
      <c r="A14" t="s">
        <v>36</v>
      </c>
      <c r="E14" s="5">
        <v>15158</v>
      </c>
      <c r="F14" s="5">
        <v>47362</v>
      </c>
      <c r="G14" s="5">
        <v>18428</v>
      </c>
      <c r="H14" s="5">
        <v>28245</v>
      </c>
      <c r="I14" s="5">
        <v>47175</v>
      </c>
      <c r="J14" s="5">
        <v>52732</v>
      </c>
      <c r="K14" s="5">
        <v>55098</v>
      </c>
      <c r="L14" s="5">
        <v>60269</v>
      </c>
      <c r="M14" s="11">
        <f>M10*0.00228</f>
        <v>65410.073463359993</v>
      </c>
      <c r="N14" s="11">
        <f t="shared" ref="N14:S14" si="6">N10*0.00228</f>
        <v>71075.531012768159</v>
      </c>
      <c r="O14" s="11">
        <f t="shared" si="6"/>
        <v>76500.698031044725</v>
      </c>
      <c r="P14" s="11">
        <f t="shared" si="6"/>
        <v>81500.88633343656</v>
      </c>
      <c r="Q14" s="11">
        <f t="shared" si="6"/>
        <v>85892.010642422654</v>
      </c>
      <c r="R14" s="11">
        <f t="shared" si="6"/>
        <v>89502.904952600875</v>
      </c>
      <c r="S14" s="11">
        <f t="shared" si="6"/>
        <v>92187.992101178927</v>
      </c>
      <c r="V14" t="s">
        <v>125</v>
      </c>
      <c r="W14" s="5">
        <f>W13*(1-0.059552)</f>
        <v>705336</v>
      </c>
      <c r="X14" s="5">
        <f t="shared" ref="X14:AF14" si="7">X13*(1-0.059552)</f>
        <v>705336</v>
      </c>
      <c r="Y14" s="5">
        <f t="shared" si="7"/>
        <v>470224</v>
      </c>
      <c r="Z14" s="5">
        <f t="shared" si="7"/>
        <v>539603.26989885943</v>
      </c>
      <c r="AA14" s="5">
        <f t="shared" si="7"/>
        <v>586340.71043768234</v>
      </c>
      <c r="AB14" s="5">
        <f t="shared" si="7"/>
        <v>631095.86370087683</v>
      </c>
      <c r="AC14" s="5">
        <f t="shared" si="7"/>
        <v>672345.13640796265</v>
      </c>
      <c r="AD14" s="5">
        <f t="shared" si="7"/>
        <v>708569.90898811491</v>
      </c>
      <c r="AE14" s="5">
        <f t="shared" si="7"/>
        <v>738358.13997248758</v>
      </c>
      <c r="AF14" s="5">
        <f t="shared" si="7"/>
        <v>760508.8841716625</v>
      </c>
    </row>
    <row r="15" spans="1:32" x14ac:dyDescent="0.25">
      <c r="A15" t="s">
        <v>37</v>
      </c>
      <c r="E15" s="5">
        <v>1246078</v>
      </c>
      <c r="F15" s="5">
        <v>1685753</v>
      </c>
      <c r="G15" s="5">
        <v>2025588</v>
      </c>
      <c r="H15" s="5">
        <v>2326161</v>
      </c>
      <c r="I15" s="5">
        <v>2680778</v>
      </c>
      <c r="J15" s="5">
        <v>2980550</v>
      </c>
      <c r="K15" s="5">
        <v>3114201</v>
      </c>
      <c r="L15" s="5">
        <v>3406632</v>
      </c>
      <c r="M15" s="11">
        <f>M10*0.12887</f>
        <v>3697103.5821154402</v>
      </c>
      <c r="N15" s="11">
        <f t="shared" ref="N15:S15" si="8">N10*0.12887</f>
        <v>4017326.1761471201</v>
      </c>
      <c r="O15" s="11">
        <f t="shared" si="8"/>
        <v>4323967.0856406735</v>
      </c>
      <c r="P15" s="11">
        <f t="shared" si="8"/>
        <v>4606587.3779780576</v>
      </c>
      <c r="Q15" s="11">
        <f t="shared" si="8"/>
        <v>4854782.1980214948</v>
      </c>
      <c r="R15" s="11">
        <f t="shared" si="8"/>
        <v>5058876.9128252966</v>
      </c>
      <c r="S15" s="11">
        <f t="shared" si="8"/>
        <v>5210643.2202100568</v>
      </c>
      <c r="V15" t="s">
        <v>126</v>
      </c>
      <c r="W15" s="5">
        <f>W13*0.059552</f>
        <v>44664</v>
      </c>
      <c r="X15" s="5">
        <f t="shared" ref="X15:AF15" si="9">X13*0.059552</f>
        <v>44664</v>
      </c>
      <c r="Y15" s="5">
        <f t="shared" si="9"/>
        <v>29776</v>
      </c>
      <c r="Z15" s="5">
        <f t="shared" si="9"/>
        <v>34169.30434114048</v>
      </c>
      <c r="AA15" s="5">
        <f t="shared" si="9"/>
        <v>37128.859849757624</v>
      </c>
      <c r="AB15" s="5">
        <f t="shared" si="9"/>
        <v>39962.890957410316</v>
      </c>
      <c r="AC15" s="5">
        <f t="shared" si="9"/>
        <v>42574.919148498375</v>
      </c>
      <c r="AD15" s="5">
        <f t="shared" si="9"/>
        <v>44868.780857697842</v>
      </c>
      <c r="AE15" s="5">
        <f t="shared" si="9"/>
        <v>46755.061366116555</v>
      </c>
      <c r="AF15" s="5">
        <f t="shared" si="9"/>
        <v>48157.713207100067</v>
      </c>
    </row>
    <row r="16" spans="1:32" x14ac:dyDescent="0.25">
      <c r="A16" t="s">
        <v>38</v>
      </c>
      <c r="E16" s="5">
        <v>40532</v>
      </c>
      <c r="F16" s="5">
        <v>68530</v>
      </c>
      <c r="G16" s="5">
        <v>91471</v>
      </c>
      <c r="H16" s="5">
        <v>128691</v>
      </c>
      <c r="I16" s="5">
        <v>175878</v>
      </c>
      <c r="J16" s="5">
        <v>269080</v>
      </c>
      <c r="K16" s="5">
        <v>275851</v>
      </c>
      <c r="L16" s="5">
        <v>293865</v>
      </c>
      <c r="M16" s="11">
        <f>L42*0.0785</f>
        <v>307710.03049999999</v>
      </c>
      <c r="N16" s="11">
        <f t="shared" ref="N16:S16" si="10">M42*0.0785</f>
        <v>369088.80679281044</v>
      </c>
      <c r="O16" s="11">
        <f t="shared" si="10"/>
        <v>386143.08122893301</v>
      </c>
      <c r="P16" s="11">
        <f t="shared" si="10"/>
        <v>405371.87465298054</v>
      </c>
      <c r="Q16" s="11">
        <f t="shared" si="10"/>
        <v>426329.27570074669</v>
      </c>
      <c r="R16" s="11">
        <f t="shared" si="10"/>
        <v>448485.16541380517</v>
      </c>
      <c r="S16" s="11">
        <f t="shared" si="10"/>
        <v>471240.19391666172</v>
      </c>
    </row>
    <row r="17" spans="1:23" x14ac:dyDescent="0.25">
      <c r="A17" t="s">
        <v>39</v>
      </c>
      <c r="E17" s="5">
        <v>0</v>
      </c>
      <c r="F17" s="5">
        <v>3274</v>
      </c>
      <c r="G17" s="5">
        <v>16097</v>
      </c>
      <c r="H17" s="5">
        <v>21923</v>
      </c>
      <c r="I17" s="5">
        <v>23434</v>
      </c>
      <c r="J17" s="5">
        <v>27704</v>
      </c>
      <c r="K17" s="5">
        <v>26153</v>
      </c>
      <c r="L17" s="5">
        <v>24689</v>
      </c>
      <c r="M17" s="11">
        <f>L45*0.05597</f>
        <v>23307.978889999999</v>
      </c>
      <c r="N17" s="11">
        <f t="shared" ref="N17:S17" si="11">M45*0.05597</f>
        <v>22003.4313115267</v>
      </c>
      <c r="O17" s="11">
        <f t="shared" si="11"/>
        <v>20771.89926102055</v>
      </c>
      <c r="P17" s="11">
        <f t="shared" si="11"/>
        <v>19609.296059381231</v>
      </c>
      <c r="Q17" s="11">
        <f t="shared" si="11"/>
        <v>18511.763758937665</v>
      </c>
      <c r="R17" s="11">
        <f t="shared" si="11"/>
        <v>17475.660341349922</v>
      </c>
      <c r="S17" s="11">
        <f t="shared" si="11"/>
        <v>16497.54763204457</v>
      </c>
    </row>
    <row r="18" spans="1:23" x14ac:dyDescent="0.25">
      <c r="A18" t="s">
        <v>40</v>
      </c>
      <c r="E18" s="5">
        <v>239179</v>
      </c>
      <c r="F18" s="5">
        <v>227475</v>
      </c>
      <c r="G18" s="5">
        <v>344358</v>
      </c>
      <c r="H18" s="5">
        <v>437550</v>
      </c>
      <c r="I18" s="5">
        <v>518353</v>
      </c>
      <c r="W18" t="s">
        <v>132</v>
      </c>
    </row>
    <row r="19" spans="1:23" x14ac:dyDescent="0.25">
      <c r="A19" t="s">
        <v>42</v>
      </c>
      <c r="E19" s="5">
        <v>-39423</v>
      </c>
      <c r="F19" s="5">
        <v>20655</v>
      </c>
      <c r="G19" s="5">
        <v>63709</v>
      </c>
      <c r="H19" s="5">
        <v>-93057</v>
      </c>
      <c r="I19" s="5">
        <v>-55279</v>
      </c>
    </row>
    <row r="20" spans="1:23" x14ac:dyDescent="0.25">
      <c r="A20" t="s">
        <v>41</v>
      </c>
      <c r="E20" s="5">
        <v>200178</v>
      </c>
      <c r="F20" s="5">
        <v>348092</v>
      </c>
      <c r="G20" s="5">
        <v>229112</v>
      </c>
      <c r="H20" s="5">
        <v>189874</v>
      </c>
      <c r="I20" s="5">
        <v>155237</v>
      </c>
    </row>
    <row r="21" spans="1:23" x14ac:dyDescent="0.25">
      <c r="A21" t="s">
        <v>43</v>
      </c>
      <c r="E21" s="5">
        <v>258024</v>
      </c>
      <c r="F21" s="5">
        <v>420195</v>
      </c>
      <c r="G21" s="5">
        <v>510265</v>
      </c>
      <c r="H21" s="5">
        <v>437910</v>
      </c>
      <c r="I21" s="5">
        <v>496651</v>
      </c>
    </row>
    <row r="22" spans="1:23" x14ac:dyDescent="0.25">
      <c r="A22" t="s">
        <v>44</v>
      </c>
      <c r="E22" s="5">
        <v>5995</v>
      </c>
      <c r="F22" s="5">
        <v>60446</v>
      </c>
      <c r="G22" s="5">
        <v>65697</v>
      </c>
      <c r="H22" s="5">
        <v>34085</v>
      </c>
      <c r="I22" s="5">
        <v>105134</v>
      </c>
    </row>
    <row r="23" spans="1:23" x14ac:dyDescent="0.25">
      <c r="A23" t="s">
        <v>45</v>
      </c>
      <c r="E23" s="5">
        <v>252029</v>
      </c>
      <c r="F23" s="5">
        <v>359749</v>
      </c>
      <c r="G23" s="5">
        <v>444568</v>
      </c>
      <c r="H23" s="5">
        <v>403825</v>
      </c>
      <c r="I23" s="5">
        <v>391517</v>
      </c>
    </row>
    <row r="25" spans="1:23" x14ac:dyDescent="0.25">
      <c r="A25" t="s">
        <v>54</v>
      </c>
      <c r="E25" s="11">
        <f>+E13+E14-E15</f>
        <v>376980</v>
      </c>
      <c r="F25" s="11">
        <f t="shared" ref="F25:L25" si="12">+F13+F14-F15</f>
        <v>350727</v>
      </c>
      <c r="G25" s="11">
        <f t="shared" si="12"/>
        <v>669370</v>
      </c>
      <c r="H25" s="11">
        <f t="shared" si="12"/>
        <v>929257</v>
      </c>
      <c r="I25" s="11">
        <f t="shared" si="12"/>
        <v>1114358</v>
      </c>
      <c r="J25" s="11">
        <f t="shared" si="12"/>
        <v>1308368</v>
      </c>
      <c r="K25" s="11">
        <f t="shared" si="12"/>
        <v>1366955</v>
      </c>
      <c r="L25" s="11">
        <f t="shared" si="12"/>
        <v>1495314</v>
      </c>
    </row>
    <row r="26" spans="1:23" x14ac:dyDescent="0.25">
      <c r="A26" t="s">
        <v>55</v>
      </c>
      <c r="E26" s="11">
        <f>+E16+E17</f>
        <v>40532</v>
      </c>
      <c r="F26" s="11">
        <f t="shared" ref="F26:L26" si="13">+F16+F17</f>
        <v>71804</v>
      </c>
      <c r="G26" s="11">
        <f t="shared" si="13"/>
        <v>107568</v>
      </c>
      <c r="H26" s="11">
        <f t="shared" si="13"/>
        <v>150614</v>
      </c>
      <c r="I26" s="11">
        <f t="shared" si="13"/>
        <v>199312</v>
      </c>
      <c r="J26" s="11">
        <f t="shared" si="13"/>
        <v>296784</v>
      </c>
      <c r="K26" s="11">
        <f t="shared" si="13"/>
        <v>302004</v>
      </c>
      <c r="L26" s="11">
        <f t="shared" si="13"/>
        <v>318554</v>
      </c>
    </row>
    <row r="27" spans="1:23" x14ac:dyDescent="0.25">
      <c r="A27" t="s">
        <v>56</v>
      </c>
      <c r="E27" s="11">
        <f>+E25-E26</f>
        <v>336448</v>
      </c>
      <c r="F27" s="11">
        <f t="shared" ref="F27:L27" si="14">+F25-F26</f>
        <v>278923</v>
      </c>
      <c r="G27" s="11">
        <f t="shared" si="14"/>
        <v>561802</v>
      </c>
      <c r="H27" s="11">
        <f t="shared" si="14"/>
        <v>778643</v>
      </c>
      <c r="I27" s="11">
        <f t="shared" si="14"/>
        <v>915046</v>
      </c>
      <c r="J27" s="11">
        <f t="shared" si="14"/>
        <v>1011584</v>
      </c>
      <c r="K27" s="11">
        <f t="shared" si="14"/>
        <v>1064951</v>
      </c>
      <c r="L27" s="11">
        <f t="shared" si="14"/>
        <v>1176760</v>
      </c>
    </row>
    <row r="28" spans="1:23" x14ac:dyDescent="0.25">
      <c r="A28" t="s">
        <v>57</v>
      </c>
      <c r="D28">
        <v>0.17</v>
      </c>
      <c r="E28" s="11">
        <f>+E27-E22</f>
        <v>330453</v>
      </c>
      <c r="F28" s="11">
        <f t="shared" ref="F28:I28" si="15">+F27-F22</f>
        <v>218477</v>
      </c>
      <c r="G28" s="11">
        <f t="shared" si="15"/>
        <v>496105</v>
      </c>
      <c r="H28" s="11">
        <f t="shared" si="15"/>
        <v>744558</v>
      </c>
      <c r="I28" s="11">
        <f t="shared" si="15"/>
        <v>809912</v>
      </c>
      <c r="J28" s="12">
        <f>+J27-$D$28*J27</f>
        <v>839614.72</v>
      </c>
      <c r="K28" s="12">
        <f t="shared" ref="K28:L28" si="16">+K27-$D$28*K27</f>
        <v>883909.33</v>
      </c>
      <c r="L28" s="12">
        <f t="shared" si="16"/>
        <v>976710.8</v>
      </c>
    </row>
    <row r="31" spans="1:23" x14ac:dyDescent="0.25">
      <c r="A31" s="8" t="s">
        <v>58</v>
      </c>
    </row>
    <row r="33" spans="1:19" x14ac:dyDescent="0.25">
      <c r="E33" s="4" t="s">
        <v>46</v>
      </c>
      <c r="F33" s="4" t="s">
        <v>47</v>
      </c>
      <c r="G33" s="4" t="s">
        <v>48</v>
      </c>
      <c r="H33" s="4" t="s">
        <v>49</v>
      </c>
      <c r="I33" s="4" t="s">
        <v>50</v>
      </c>
      <c r="J33" s="4" t="s">
        <v>51</v>
      </c>
      <c r="K33" s="4" t="s">
        <v>52</v>
      </c>
      <c r="L33" s="4" t="s">
        <v>53</v>
      </c>
      <c r="M33" s="4" t="s">
        <v>116</v>
      </c>
      <c r="N33" s="4" t="s">
        <v>117</v>
      </c>
      <c r="O33" s="4" t="s">
        <v>118</v>
      </c>
      <c r="P33" s="4" t="s">
        <v>119</v>
      </c>
      <c r="Q33" s="4" t="s">
        <v>120</v>
      </c>
      <c r="R33" s="4" t="s">
        <v>121</v>
      </c>
      <c r="S33" s="4" t="s">
        <v>122</v>
      </c>
    </row>
    <row r="34" spans="1:19" x14ac:dyDescent="0.25">
      <c r="A34" t="s">
        <v>59</v>
      </c>
    </row>
    <row r="35" spans="1:19" x14ac:dyDescent="0.25">
      <c r="A35" t="s">
        <v>60</v>
      </c>
      <c r="E35" s="5">
        <v>533818</v>
      </c>
      <c r="F35" s="5">
        <v>671543</v>
      </c>
      <c r="G35" s="5">
        <v>872247</v>
      </c>
      <c r="H35" s="5">
        <v>1110856</v>
      </c>
      <c r="I35" s="5">
        <v>1630666</v>
      </c>
      <c r="J35" s="5"/>
      <c r="K35" s="5"/>
      <c r="L35" s="5"/>
    </row>
    <row r="36" spans="1:19" x14ac:dyDescent="0.25">
      <c r="A36" t="s">
        <v>61</v>
      </c>
      <c r="E36" s="5">
        <f>732500+2244102+116931-439175-166325</f>
        <v>2488033</v>
      </c>
      <c r="F36" s="5">
        <f>976781+2821830+103384-396153-240728</f>
        <v>3265114</v>
      </c>
      <c r="G36" s="5">
        <f>1595446+3806351+164888-613112-463730</f>
        <v>4489843</v>
      </c>
      <c r="H36" s="5">
        <f>1596796+4730570+298825-678331-408743</f>
        <v>5539117</v>
      </c>
      <c r="I36" s="5">
        <f>2372900+4752741+243652-1188242-571178</f>
        <v>5609873</v>
      </c>
      <c r="J36" s="5">
        <f>2638279+5265063+270832-1316343-635104</f>
        <v>6222727</v>
      </c>
      <c r="K36" s="5">
        <f>2756530+5501051+282972-1375344-663570</f>
        <v>6501639</v>
      </c>
      <c r="L36" s="5">
        <f>3015375+6017613+309543-1504492-725881</f>
        <v>7112158</v>
      </c>
    </row>
    <row r="37" spans="1:19" x14ac:dyDescent="0.25">
      <c r="A37" t="s">
        <v>62</v>
      </c>
      <c r="E37" s="5">
        <v>211088</v>
      </c>
      <c r="F37" s="5">
        <v>271521</v>
      </c>
      <c r="G37" s="5">
        <v>251274</v>
      </c>
      <c r="H37" s="5">
        <v>271465</v>
      </c>
      <c r="I37" s="5">
        <v>238380</v>
      </c>
      <c r="J37" s="5">
        <v>265057</v>
      </c>
      <c r="K37" s="5">
        <v>276937</v>
      </c>
      <c r="L37" s="5">
        <v>302942</v>
      </c>
    </row>
    <row r="38" spans="1:19" x14ac:dyDescent="0.25">
      <c r="A38" t="s">
        <v>63</v>
      </c>
      <c r="E38" s="5">
        <v>428691</v>
      </c>
      <c r="F38" s="5">
        <v>827836</v>
      </c>
      <c r="G38" s="5">
        <v>2909233</v>
      </c>
      <c r="H38" s="5">
        <v>1377217</v>
      </c>
      <c r="I38" s="5">
        <v>637031</v>
      </c>
      <c r="J38" s="5">
        <v>708189</v>
      </c>
      <c r="K38" s="5">
        <v>739932</v>
      </c>
      <c r="L38" s="5">
        <v>809413</v>
      </c>
    </row>
    <row r="39" spans="1:19" x14ac:dyDescent="0.25">
      <c r="B39" t="s">
        <v>85</v>
      </c>
      <c r="E39" s="5">
        <f>+SUM(E35:E38)</f>
        <v>3661630</v>
      </c>
      <c r="F39" s="5">
        <f t="shared" ref="F39:I39" si="17">+SUM(F35:F38)</f>
        <v>5036014</v>
      </c>
      <c r="G39" s="5">
        <f t="shared" si="17"/>
        <v>8522597</v>
      </c>
      <c r="H39" s="5">
        <f t="shared" si="17"/>
        <v>8298655</v>
      </c>
      <c r="I39" s="5">
        <f t="shared" si="17"/>
        <v>8115950</v>
      </c>
      <c r="J39" s="5"/>
      <c r="K39" s="5"/>
      <c r="L39" s="5"/>
    </row>
    <row r="40" spans="1:19" x14ac:dyDescent="0.25">
      <c r="A40" t="s">
        <v>64</v>
      </c>
      <c r="E40" s="5">
        <v>647102</v>
      </c>
      <c r="F40" s="5">
        <v>1221258</v>
      </c>
      <c r="G40" s="5">
        <v>1802701</v>
      </c>
      <c r="H40" s="5">
        <v>2978814</v>
      </c>
      <c r="I40" s="5">
        <v>3932825</v>
      </c>
      <c r="J40" s="5">
        <f>I40+W14</f>
        <v>4638161</v>
      </c>
      <c r="K40" s="5">
        <f t="shared" ref="K40:S40" si="18">J40+X14</f>
        <v>5343497</v>
      </c>
      <c r="L40" s="5">
        <f t="shared" si="18"/>
        <v>5813721</v>
      </c>
      <c r="M40" s="5">
        <f t="shared" si="18"/>
        <v>6353324.2698988598</v>
      </c>
      <c r="N40" s="5">
        <f t="shared" si="18"/>
        <v>6939664.9803365422</v>
      </c>
      <c r="O40" s="5">
        <f t="shared" si="18"/>
        <v>7570760.8440374192</v>
      </c>
      <c r="P40" s="5">
        <f t="shared" si="18"/>
        <v>8243105.9804453822</v>
      </c>
      <c r="Q40" s="5">
        <f t="shared" si="18"/>
        <v>8951675.8894334976</v>
      </c>
      <c r="R40" s="5">
        <f t="shared" si="18"/>
        <v>9690034.029405985</v>
      </c>
      <c r="S40" s="5">
        <f t="shared" si="18"/>
        <v>10450542.913577648</v>
      </c>
    </row>
    <row r="41" spans="1:19" x14ac:dyDescent="0.25">
      <c r="A41" t="s">
        <v>65</v>
      </c>
      <c r="E41" s="5">
        <v>113139</v>
      </c>
      <c r="F41" s="5">
        <v>167092</v>
      </c>
      <c r="G41" s="5">
        <v>225986</v>
      </c>
      <c r="H41" s="5">
        <v>357819</v>
      </c>
      <c r="I41" s="5">
        <v>505050</v>
      </c>
      <c r="J41" s="5">
        <f>I41+J16</f>
        <v>774130</v>
      </c>
      <c r="K41" s="5">
        <f t="shared" ref="K41:S41" si="19">J41+K16</f>
        <v>1049981</v>
      </c>
      <c r="L41" s="5">
        <f t="shared" si="19"/>
        <v>1343846</v>
      </c>
      <c r="M41" s="5">
        <f t="shared" si="19"/>
        <v>1651556.0304999999</v>
      </c>
      <c r="N41" s="5">
        <f t="shared" si="19"/>
        <v>2020644.8372928104</v>
      </c>
      <c r="O41" s="5">
        <f t="shared" si="19"/>
        <v>2406787.9185217433</v>
      </c>
      <c r="P41" s="5">
        <f t="shared" si="19"/>
        <v>2812159.7931747236</v>
      </c>
      <c r="Q41" s="5">
        <f t="shared" si="19"/>
        <v>3238489.0688754702</v>
      </c>
      <c r="R41" s="5">
        <f t="shared" si="19"/>
        <v>3686974.2342892755</v>
      </c>
      <c r="S41" s="5">
        <f t="shared" si="19"/>
        <v>4158214.4282059371</v>
      </c>
    </row>
    <row r="42" spans="1:19" x14ac:dyDescent="0.25">
      <c r="A42" t="s">
        <v>66</v>
      </c>
      <c r="E42" s="5">
        <f>+E40-E41</f>
        <v>533963</v>
      </c>
      <c r="F42" s="5">
        <f t="shared" ref="F42:I42" si="20">+F40-F41</f>
        <v>1054166</v>
      </c>
      <c r="G42" s="5">
        <f t="shared" si="20"/>
        <v>1576715</v>
      </c>
      <c r="H42" s="5">
        <f t="shared" si="20"/>
        <v>2620995</v>
      </c>
      <c r="I42" s="5">
        <f t="shared" si="20"/>
        <v>3427775</v>
      </c>
      <c r="J42" s="5">
        <v>3514030</v>
      </c>
      <c r="K42" s="5">
        <v>3743515</v>
      </c>
      <c r="L42" s="5">
        <v>3919873</v>
      </c>
      <c r="M42" s="11">
        <f>M40-M41</f>
        <v>4701768.2393988594</v>
      </c>
      <c r="N42" s="11">
        <f t="shared" ref="N42:S42" si="21">N40-N41</f>
        <v>4919020.1430437323</v>
      </c>
      <c r="O42" s="11">
        <f t="shared" si="21"/>
        <v>5163972.9255156759</v>
      </c>
      <c r="P42" s="11">
        <f t="shared" si="21"/>
        <v>5430946.1872706581</v>
      </c>
      <c r="Q42" s="11">
        <f t="shared" si="21"/>
        <v>5713186.8205580274</v>
      </c>
      <c r="R42" s="11">
        <f t="shared" si="21"/>
        <v>6003059.7951167095</v>
      </c>
      <c r="S42" s="11">
        <f t="shared" si="21"/>
        <v>6292328.4853717107</v>
      </c>
    </row>
    <row r="43" spans="1:19" x14ac:dyDescent="0.25">
      <c r="A43" t="s">
        <v>68</v>
      </c>
      <c r="E43" s="5">
        <v>0</v>
      </c>
      <c r="F43" s="5">
        <v>181883</v>
      </c>
      <c r="G43" s="5">
        <v>453168</v>
      </c>
      <c r="H43" s="5">
        <v>631339</v>
      </c>
      <c r="I43" s="5">
        <v>781742</v>
      </c>
      <c r="J43" s="5">
        <f>I43+W15</f>
        <v>826406</v>
      </c>
      <c r="K43" s="5">
        <f t="shared" ref="K43:S43" si="22">J43+X15</f>
        <v>871070</v>
      </c>
      <c r="L43" s="5">
        <f t="shared" si="22"/>
        <v>900846</v>
      </c>
      <c r="M43" s="5">
        <f t="shared" si="22"/>
        <v>935015.30434114044</v>
      </c>
      <c r="N43" s="5">
        <f t="shared" si="22"/>
        <v>972144.16419089807</v>
      </c>
      <c r="O43" s="5">
        <f t="shared" si="22"/>
        <v>1012107.0551483084</v>
      </c>
      <c r="P43" s="5">
        <f t="shared" si="22"/>
        <v>1054681.9742968068</v>
      </c>
      <c r="Q43" s="5">
        <f t="shared" si="22"/>
        <v>1099550.7551545047</v>
      </c>
      <c r="R43" s="5">
        <f t="shared" si="22"/>
        <v>1146305.8165206213</v>
      </c>
      <c r="S43" s="5">
        <f t="shared" si="22"/>
        <v>1194463.5297277214</v>
      </c>
    </row>
    <row r="44" spans="1:19" x14ac:dyDescent="0.25">
      <c r="A44" t="s">
        <v>82</v>
      </c>
      <c r="E44" s="5">
        <v>100184</v>
      </c>
      <c r="F44" s="5">
        <v>97280</v>
      </c>
      <c r="G44" s="5">
        <v>95382</v>
      </c>
      <c r="H44" s="5">
        <v>149356</v>
      </c>
      <c r="I44" s="5">
        <v>191531</v>
      </c>
      <c r="J44" s="5">
        <v>191531</v>
      </c>
      <c r="K44" s="5">
        <v>191531</v>
      </c>
      <c r="L44" s="5">
        <v>191531</v>
      </c>
      <c r="M44" s="5">
        <v>191531</v>
      </c>
      <c r="N44" s="5">
        <v>191531</v>
      </c>
      <c r="O44" s="5">
        <v>191531</v>
      </c>
      <c r="P44" s="5">
        <v>191531</v>
      </c>
      <c r="Q44" s="5">
        <v>191531</v>
      </c>
      <c r="R44" s="5">
        <v>191531</v>
      </c>
      <c r="S44" s="5">
        <v>191531</v>
      </c>
    </row>
    <row r="45" spans="1:19" x14ac:dyDescent="0.25">
      <c r="A45" t="s">
        <v>67</v>
      </c>
      <c r="E45" s="5">
        <v>27354</v>
      </c>
      <c r="F45" s="5">
        <v>244306</v>
      </c>
      <c r="G45" s="5">
        <v>390556</v>
      </c>
      <c r="H45" s="5">
        <v>510801</v>
      </c>
      <c r="I45" s="5">
        <v>494985</v>
      </c>
      <c r="J45" s="5">
        <v>467280</v>
      </c>
      <c r="K45" s="5">
        <v>441126</v>
      </c>
      <c r="L45" s="5">
        <v>416437</v>
      </c>
      <c r="M45" s="11">
        <f>L45-M17</f>
        <v>393129.02110999997</v>
      </c>
      <c r="N45" s="11">
        <f t="shared" ref="N45:S45" si="23">M45-N17</f>
        <v>371125.58979847329</v>
      </c>
      <c r="O45" s="11">
        <f t="shared" si="23"/>
        <v>350353.69053745276</v>
      </c>
      <c r="P45" s="11">
        <f t="shared" si="23"/>
        <v>330744.39447807154</v>
      </c>
      <c r="Q45" s="11">
        <f t="shared" si="23"/>
        <v>312232.63071913389</v>
      </c>
      <c r="R45" s="11">
        <f t="shared" si="23"/>
        <v>294756.97037778399</v>
      </c>
      <c r="S45" s="11">
        <f t="shared" si="23"/>
        <v>278259.4227457394</v>
      </c>
    </row>
    <row r="46" spans="1:19" x14ac:dyDescent="0.25">
      <c r="A46" t="s">
        <v>69</v>
      </c>
      <c r="E46" s="5">
        <v>400927</v>
      </c>
      <c r="F46" s="5">
        <v>485989</v>
      </c>
      <c r="G46" s="5">
        <v>411819</v>
      </c>
      <c r="H46" s="5">
        <v>482864</v>
      </c>
      <c r="I46" s="5">
        <v>557693</v>
      </c>
      <c r="J46" s="5"/>
      <c r="K46" s="5"/>
      <c r="L46" s="5"/>
    </row>
    <row r="47" spans="1:19" x14ac:dyDescent="0.25">
      <c r="A47" t="s">
        <v>70</v>
      </c>
      <c r="E47" s="5">
        <f>74704+11154</f>
        <v>85858</v>
      </c>
      <c r="F47" s="5">
        <f>63978+4161</f>
        <v>68139</v>
      </c>
      <c r="G47" s="5">
        <f>43053+10004</f>
        <v>53057</v>
      </c>
      <c r="H47" s="5">
        <f>37735+9163</f>
        <v>46898</v>
      </c>
      <c r="I47" s="5">
        <f>34832+20256</f>
        <v>55088</v>
      </c>
      <c r="J47" s="5"/>
      <c r="K47" s="5"/>
      <c r="L47" s="5"/>
    </row>
    <row r="48" spans="1:19" x14ac:dyDescent="0.25">
      <c r="B48" t="s">
        <v>86</v>
      </c>
      <c r="E48" s="5">
        <f>+E39+E42+E43+E45+E46+E47+E44</f>
        <v>4809916</v>
      </c>
      <c r="F48" s="5">
        <f t="shared" ref="F48:I48" si="24">+F39+F42+F43+F45+F46+F47+F44</f>
        <v>7167777</v>
      </c>
      <c r="G48" s="5">
        <f t="shared" si="24"/>
        <v>11503294</v>
      </c>
      <c r="H48" s="5">
        <f t="shared" si="24"/>
        <v>12740908</v>
      </c>
      <c r="I48" s="5">
        <f t="shared" si="24"/>
        <v>13624764</v>
      </c>
      <c r="J48" s="5"/>
      <c r="K48" s="5"/>
      <c r="L48" s="5"/>
    </row>
    <row r="50" spans="1:12" x14ac:dyDescent="0.25">
      <c r="A50" t="s">
        <v>71</v>
      </c>
    </row>
    <row r="51" spans="1:12" x14ac:dyDescent="0.25">
      <c r="A51" t="s">
        <v>72</v>
      </c>
      <c r="E51" s="5">
        <v>265141</v>
      </c>
      <c r="F51" s="5">
        <v>167611</v>
      </c>
      <c r="G51" s="5">
        <v>437169</v>
      </c>
      <c r="H51" s="5">
        <v>445664</v>
      </c>
      <c r="I51" s="5">
        <v>261147</v>
      </c>
      <c r="J51" s="5"/>
      <c r="K51" s="5"/>
      <c r="L51" s="5"/>
    </row>
    <row r="52" spans="1:12" x14ac:dyDescent="0.25">
      <c r="A52" t="s">
        <v>73</v>
      </c>
      <c r="E52" s="5">
        <v>1732504</v>
      </c>
      <c r="F52" s="5">
        <v>2127957</v>
      </c>
      <c r="G52" s="5">
        <v>3172874</v>
      </c>
      <c r="H52" s="5">
        <v>2702669</v>
      </c>
      <c r="I52" s="5">
        <v>2704412</v>
      </c>
      <c r="J52" s="5"/>
      <c r="K52" s="5"/>
      <c r="L52" s="5"/>
    </row>
    <row r="53" spans="1:12" x14ac:dyDescent="0.25">
      <c r="A53" t="s">
        <v>81</v>
      </c>
      <c r="E53" s="5">
        <v>527021</v>
      </c>
      <c r="F53" s="5">
        <v>753127</v>
      </c>
      <c r="G53" s="5">
        <v>2443079</v>
      </c>
      <c r="H53" s="5">
        <v>1529691</v>
      </c>
      <c r="I53" s="5">
        <v>711921</v>
      </c>
      <c r="J53" s="5">
        <v>791452</v>
      </c>
      <c r="K53" s="5">
        <v>826926</v>
      </c>
      <c r="L53" s="5">
        <v>904576</v>
      </c>
    </row>
    <row r="54" spans="1:12" x14ac:dyDescent="0.25">
      <c r="B54" t="s">
        <v>87</v>
      </c>
      <c r="E54" s="5">
        <f>+SUM(E51:E53)</f>
        <v>2524666</v>
      </c>
      <c r="F54" s="5">
        <f t="shared" ref="F54:I54" si="25">+SUM(F51:F53)</f>
        <v>3048695</v>
      </c>
      <c r="G54" s="5">
        <f t="shared" si="25"/>
        <v>6053122</v>
      </c>
      <c r="H54" s="5">
        <f t="shared" si="25"/>
        <v>4678024</v>
      </c>
      <c r="I54" s="5">
        <f t="shared" si="25"/>
        <v>3677480</v>
      </c>
      <c r="J54" s="5"/>
      <c r="K54" s="5"/>
      <c r="L54" s="5"/>
    </row>
    <row r="55" spans="1:12" x14ac:dyDescent="0.25">
      <c r="A55" t="s">
        <v>74</v>
      </c>
      <c r="E55" s="5">
        <v>1176546</v>
      </c>
      <c r="F55" s="5">
        <v>2207436</v>
      </c>
      <c r="G55" s="5">
        <f>2948971+21556</f>
        <v>2970527</v>
      </c>
      <c r="H55" s="5">
        <f>4311322+29729</f>
        <v>4341051</v>
      </c>
      <c r="I55" s="5">
        <f>5861116+21563</f>
        <v>5882679</v>
      </c>
      <c r="J55" s="5"/>
      <c r="K55" s="5"/>
      <c r="L55" s="5"/>
    </row>
    <row r="56" spans="1:12" x14ac:dyDescent="0.25">
      <c r="A56" t="s">
        <v>75</v>
      </c>
      <c r="E56" s="5">
        <v>62812</v>
      </c>
      <c r="F56" s="5">
        <v>140861</v>
      </c>
      <c r="G56" s="5">
        <v>177283</v>
      </c>
      <c r="H56" s="5">
        <v>194071</v>
      </c>
      <c r="I56" s="5">
        <v>240877</v>
      </c>
      <c r="J56" s="5"/>
      <c r="K56" s="5"/>
      <c r="L56" s="5"/>
    </row>
    <row r="57" spans="1:12" x14ac:dyDescent="0.25">
      <c r="B57" t="s">
        <v>88</v>
      </c>
      <c r="E57" s="5">
        <f>+E54+E55+E56</f>
        <v>3764024</v>
      </c>
      <c r="F57" s="5">
        <f t="shared" ref="F57:I57" si="26">+F54+F55+F56</f>
        <v>5396992</v>
      </c>
      <c r="G57" s="5">
        <f t="shared" si="26"/>
        <v>9200932</v>
      </c>
      <c r="H57" s="5">
        <f t="shared" si="26"/>
        <v>9213146</v>
      </c>
      <c r="I57" s="5">
        <f t="shared" si="26"/>
        <v>9801036</v>
      </c>
      <c r="J57" s="5"/>
      <c r="K57" s="5"/>
      <c r="L57" s="5"/>
    </row>
    <row r="58" spans="1:12" x14ac:dyDescent="0.25">
      <c r="A58" t="s">
        <v>76</v>
      </c>
      <c r="E58" s="5"/>
      <c r="F58" s="5"/>
      <c r="G58" s="5"/>
      <c r="H58" s="5"/>
      <c r="I58" s="5"/>
      <c r="J58" s="5"/>
      <c r="K58" s="5"/>
      <c r="L58" s="5"/>
    </row>
    <row r="59" spans="1:12" x14ac:dyDescent="0.25">
      <c r="A59" t="s">
        <v>77</v>
      </c>
      <c r="E59" s="5">
        <v>708586</v>
      </c>
      <c r="F59" s="5">
        <v>1201581</v>
      </c>
      <c r="G59" s="5">
        <v>1577110</v>
      </c>
      <c r="H59" s="5">
        <v>2077038</v>
      </c>
      <c r="I59" s="5">
        <v>2077038</v>
      </c>
      <c r="J59" s="5"/>
      <c r="K59" s="5"/>
      <c r="L59" s="5"/>
    </row>
    <row r="60" spans="1:12" x14ac:dyDescent="0.25">
      <c r="A60" t="s">
        <v>78</v>
      </c>
      <c r="E60" s="5"/>
      <c r="F60" s="5"/>
      <c r="G60" s="5"/>
      <c r="H60" s="5">
        <v>276886</v>
      </c>
      <c r="I60" s="5">
        <v>276886</v>
      </c>
      <c r="J60" s="5"/>
      <c r="K60" s="5"/>
      <c r="L60" s="5"/>
    </row>
    <row r="61" spans="1:12" x14ac:dyDescent="0.25">
      <c r="A61" t="s">
        <v>79</v>
      </c>
      <c r="E61" s="5">
        <v>337260</v>
      </c>
      <c r="F61" s="5">
        <v>570348</v>
      </c>
      <c r="G61" s="5">
        <v>668232</v>
      </c>
      <c r="H61" s="5">
        <v>1147767</v>
      </c>
      <c r="I61" s="5">
        <v>1433964</v>
      </c>
      <c r="J61" s="5"/>
      <c r="K61" s="5"/>
      <c r="L61" s="5"/>
    </row>
    <row r="62" spans="1:12" x14ac:dyDescent="0.25">
      <c r="A62" t="s">
        <v>80</v>
      </c>
      <c r="E62" s="5">
        <v>46</v>
      </c>
      <c r="F62" s="5">
        <v>-1144</v>
      </c>
      <c r="G62" s="5">
        <v>57020</v>
      </c>
      <c r="H62" s="5">
        <v>122152</v>
      </c>
      <c r="I62" s="5">
        <v>131868</v>
      </c>
      <c r="J62" s="5"/>
      <c r="K62" s="5"/>
      <c r="L62" s="5"/>
    </row>
    <row r="63" spans="1:12" x14ac:dyDescent="0.25">
      <c r="E63" s="5"/>
      <c r="F63" s="5"/>
      <c r="G63" s="5"/>
      <c r="H63" s="5">
        <v>-96081</v>
      </c>
      <c r="I63" s="5">
        <v>-96081</v>
      </c>
      <c r="J63" s="5"/>
      <c r="K63" s="5"/>
      <c r="L63" s="5"/>
    </row>
    <row r="64" spans="1:12" x14ac:dyDescent="0.25">
      <c r="B64" t="s">
        <v>89</v>
      </c>
      <c r="E64" s="5">
        <f>+SUM(E59:E63)</f>
        <v>1045892</v>
      </c>
      <c r="F64" s="5">
        <f t="shared" ref="F64:I64" si="27">+SUM(F59:F63)</f>
        <v>1770785</v>
      </c>
      <c r="G64" s="5">
        <f t="shared" si="27"/>
        <v>2302362</v>
      </c>
      <c r="H64" s="5">
        <f t="shared" si="27"/>
        <v>3527762</v>
      </c>
      <c r="I64" s="5">
        <f t="shared" si="27"/>
        <v>3823675</v>
      </c>
      <c r="J64" s="5"/>
      <c r="K64" s="5"/>
      <c r="L64" s="5"/>
    </row>
    <row r="65" spans="2:12" x14ac:dyDescent="0.25">
      <c r="B65" t="s">
        <v>90</v>
      </c>
      <c r="E65" s="5">
        <f>+E57+E64</f>
        <v>4809916</v>
      </c>
      <c r="F65" s="5">
        <f t="shared" ref="F65:I65" si="28">+F57+F64</f>
        <v>7167777</v>
      </c>
      <c r="G65" s="5">
        <f t="shared" si="28"/>
        <v>11503294</v>
      </c>
      <c r="H65" s="5">
        <f t="shared" si="28"/>
        <v>12740908</v>
      </c>
      <c r="I65" s="5">
        <f t="shared" si="28"/>
        <v>13624711</v>
      </c>
      <c r="J65" s="5"/>
      <c r="K65" s="5"/>
      <c r="L65" s="5"/>
    </row>
    <row r="68" spans="2:12" x14ac:dyDescent="0.25">
      <c r="D68" s="17" t="s">
        <v>106</v>
      </c>
    </row>
    <row r="69" spans="2:12" x14ac:dyDescent="0.25">
      <c r="D69" s="13" t="s">
        <v>84</v>
      </c>
      <c r="E69" s="6">
        <f>E23/E64</f>
        <v>0.24097038699980494</v>
      </c>
      <c r="F69" s="6">
        <f t="shared" ref="F69:I69" si="29">F23/F64</f>
        <v>0.20315792148679823</v>
      </c>
      <c r="G69" s="6">
        <f t="shared" si="29"/>
        <v>0.19309213755265245</v>
      </c>
      <c r="H69" s="6">
        <f t="shared" si="29"/>
        <v>0.11447059070311433</v>
      </c>
      <c r="I69" s="6">
        <f t="shared" si="29"/>
        <v>0.10239285504128881</v>
      </c>
    </row>
    <row r="70" spans="2:12" x14ac:dyDescent="0.25">
      <c r="D70" s="13" t="s">
        <v>91</v>
      </c>
      <c r="E70" s="6">
        <f>E23/E48</f>
        <v>5.2397796551956415E-2</v>
      </c>
      <c r="F70" s="6">
        <f t="shared" ref="F70:I70" si="30">F23/F48</f>
        <v>5.0189758972691255E-2</v>
      </c>
      <c r="G70" s="6">
        <f t="shared" si="30"/>
        <v>3.8647017106578342E-2</v>
      </c>
      <c r="H70" s="6">
        <f t="shared" si="30"/>
        <v>3.1695150769474198E-2</v>
      </c>
      <c r="I70" s="6">
        <f t="shared" si="30"/>
        <v>2.8735690394343712E-2</v>
      </c>
    </row>
    <row r="71" spans="2:12" x14ac:dyDescent="0.25">
      <c r="D71" s="13" t="s">
        <v>92</v>
      </c>
      <c r="E71" s="14">
        <f>E48/E64</f>
        <v>4.5988648923598232</v>
      </c>
      <c r="F71" s="14">
        <f t="shared" ref="F71:I71" si="31">F48/F64</f>
        <v>4.0477963163229864</v>
      </c>
      <c r="G71" s="14">
        <f t="shared" si="31"/>
        <v>4.9963011898215832</v>
      </c>
      <c r="H71" s="14">
        <f t="shared" si="31"/>
        <v>3.6116121212258649</v>
      </c>
      <c r="I71" s="14">
        <f t="shared" si="31"/>
        <v>3.5632641372501586</v>
      </c>
    </row>
    <row r="72" spans="2:12" x14ac:dyDescent="0.25">
      <c r="D72" s="13" t="s">
        <v>93</v>
      </c>
      <c r="E72" s="6">
        <f>E23/E10</f>
        <v>2.9346878852790172E-2</v>
      </c>
      <c r="F72" s="6">
        <f t="shared" ref="F72:I72" si="32">F23/F10</f>
        <v>3.440917254007448E-2</v>
      </c>
      <c r="G72" s="6">
        <f t="shared" si="32"/>
        <v>2.8131184789690969E-2</v>
      </c>
      <c r="H72" s="6">
        <f t="shared" si="32"/>
        <v>2.362413024502346E-2</v>
      </c>
      <c r="I72" s="6">
        <f t="shared" si="32"/>
        <v>1.882130573520616E-2</v>
      </c>
    </row>
    <row r="73" spans="2:12" x14ac:dyDescent="0.25">
      <c r="D73" s="13" t="s">
        <v>95</v>
      </c>
      <c r="E73" s="14">
        <f>E10/E48</f>
        <v>1.7854640288936439</v>
      </c>
      <c r="F73" s="14">
        <f t="shared" ref="F73:I73" si="33">F10/F48</f>
        <v>1.4586156907504237</v>
      </c>
      <c r="G73" s="14">
        <f t="shared" si="33"/>
        <v>1.3738140570866049</v>
      </c>
      <c r="H73" s="14">
        <f t="shared" si="33"/>
        <v>1.3416430759879907</v>
      </c>
      <c r="I73" s="14">
        <f t="shared" si="33"/>
        <v>1.5267639131217245</v>
      </c>
    </row>
    <row r="74" spans="2:12" x14ac:dyDescent="0.25">
      <c r="D74" s="13" t="s">
        <v>96</v>
      </c>
      <c r="E74" s="15">
        <f>E22/E21</f>
        <v>2.3234272780826591E-2</v>
      </c>
      <c r="F74" s="15">
        <f t="shared" ref="F74:I74" si="34">F22/F21</f>
        <v>0.14385225907019361</v>
      </c>
      <c r="G74" s="15">
        <f t="shared" si="34"/>
        <v>0.12875074716078899</v>
      </c>
      <c r="H74" s="15">
        <f t="shared" si="34"/>
        <v>7.7835628325455E-2</v>
      </c>
      <c r="I74" s="15">
        <f t="shared" si="34"/>
        <v>0.21168587197045813</v>
      </c>
    </row>
    <row r="75" spans="2:12" x14ac:dyDescent="0.25">
      <c r="D75" s="13" t="s">
        <v>97</v>
      </c>
      <c r="E75" s="11">
        <f>E39-E54</f>
        <v>1136964</v>
      </c>
      <c r="F75" s="11">
        <f t="shared" ref="F75:K75" si="35">F39-F54</f>
        <v>1987319</v>
      </c>
      <c r="G75" s="11">
        <f t="shared" si="35"/>
        <v>2469475</v>
      </c>
      <c r="H75" s="11">
        <f t="shared" si="35"/>
        <v>3620631</v>
      </c>
      <c r="I75" s="11">
        <f t="shared" si="35"/>
        <v>4438470</v>
      </c>
      <c r="J75" s="11">
        <f>J36</f>
        <v>6222727</v>
      </c>
      <c r="K75" s="11">
        <f>K36</f>
        <v>6501639</v>
      </c>
      <c r="L75" s="11">
        <f>L36</f>
        <v>7112158</v>
      </c>
    </row>
    <row r="76" spans="2:12" x14ac:dyDescent="0.25">
      <c r="D76" s="13" t="s">
        <v>114</v>
      </c>
      <c r="E76" s="14">
        <f>E57/E64</f>
        <v>3.5988648923598232</v>
      </c>
      <c r="F76" s="14">
        <f t="shared" ref="F76:I76" si="36">F57/F64</f>
        <v>3.0477963163229869</v>
      </c>
      <c r="G76" s="14">
        <f t="shared" si="36"/>
        <v>3.9963011898215832</v>
      </c>
      <c r="H76" s="14">
        <f t="shared" si="36"/>
        <v>2.6116121212258649</v>
      </c>
      <c r="I76" s="14">
        <f t="shared" si="36"/>
        <v>2.5632502762394815</v>
      </c>
    </row>
    <row r="77" spans="2:12" x14ac:dyDescent="0.25">
      <c r="D77" s="13"/>
    </row>
    <row r="78" spans="2:12" x14ac:dyDescent="0.25">
      <c r="D78" s="13"/>
    </row>
    <row r="79" spans="2:12" x14ac:dyDescent="0.25">
      <c r="D79" s="13" t="s">
        <v>83</v>
      </c>
      <c r="E79" s="6">
        <f>E35/E40</f>
        <v>0.82493640878872265</v>
      </c>
      <c r="F79" s="6">
        <f t="shared" ref="F79:I79" si="37">F35/F40</f>
        <v>0.54987807654074727</v>
      </c>
      <c r="G79" s="6">
        <f t="shared" si="37"/>
        <v>0.48385561443633746</v>
      </c>
      <c r="H79" s="6">
        <f t="shared" si="37"/>
        <v>0.37291888650986599</v>
      </c>
      <c r="I79" s="6">
        <f t="shared" si="37"/>
        <v>0.41462968731128386</v>
      </c>
    </row>
    <row r="80" spans="2:12" x14ac:dyDescent="0.25">
      <c r="D80" s="13" t="s">
        <v>98</v>
      </c>
      <c r="E80" s="14">
        <f>E10/E42</f>
        <v>16.083384054700421</v>
      </c>
      <c r="F80" s="14">
        <f t="shared" ref="F80:I80" si="38">F10/F42</f>
        <v>9.9178231891371951</v>
      </c>
      <c r="G80" s="14">
        <f t="shared" si="38"/>
        <v>10.022982593556858</v>
      </c>
      <c r="H80" s="14">
        <f t="shared" si="38"/>
        <v>6.5218556311629747</v>
      </c>
      <c r="I80" s="14">
        <f t="shared" si="38"/>
        <v>6.0686007687202341</v>
      </c>
    </row>
    <row r="81" spans="1:19" x14ac:dyDescent="0.25">
      <c r="D81" s="13" t="s">
        <v>99</v>
      </c>
      <c r="F81" s="6">
        <f>(F42-E42)/E42</f>
        <v>0.9742304242054225</v>
      </c>
      <c r="G81" s="6">
        <f t="shared" ref="G81:I81" si="39">(G42-F42)/F42</f>
        <v>0.49569896961199661</v>
      </c>
      <c r="H81" s="6">
        <f t="shared" si="39"/>
        <v>0.6623137345683906</v>
      </c>
      <c r="I81" s="6">
        <f t="shared" si="39"/>
        <v>0.30781439873025318</v>
      </c>
    </row>
    <row r="82" spans="1:19" x14ac:dyDescent="0.25">
      <c r="D82" s="13" t="s">
        <v>100</v>
      </c>
      <c r="F82" s="11">
        <f>F42-E42</f>
        <v>520203</v>
      </c>
      <c r="G82" s="11">
        <f t="shared" ref="G82:I82" si="40">G42-F42</f>
        <v>522549</v>
      </c>
      <c r="H82" s="11">
        <f t="shared" si="40"/>
        <v>1044280</v>
      </c>
      <c r="I82" s="11">
        <f t="shared" si="40"/>
        <v>806780</v>
      </c>
    </row>
    <row r="83" spans="1:19" x14ac:dyDescent="0.25">
      <c r="D83" s="13"/>
      <c r="F83" s="14">
        <f>F82/E23</f>
        <v>2.0640600883231692</v>
      </c>
      <c r="G83" s="14">
        <f t="shared" ref="G83:I83" si="41">G82/F23</f>
        <v>1.4525377415920544</v>
      </c>
      <c r="H83" s="14">
        <f t="shared" si="41"/>
        <v>2.3489769843983375</v>
      </c>
      <c r="I83" s="14">
        <f t="shared" si="41"/>
        <v>1.9978456014362658</v>
      </c>
    </row>
    <row r="84" spans="1:19" x14ac:dyDescent="0.25">
      <c r="D84" s="13"/>
      <c r="F84" s="14"/>
      <c r="G84" s="14"/>
      <c r="H84" s="14"/>
      <c r="I84" s="14"/>
    </row>
    <row r="85" spans="1:19" x14ac:dyDescent="0.25">
      <c r="D85" s="13" t="s">
        <v>115</v>
      </c>
      <c r="F85" s="14"/>
      <c r="G85" s="14"/>
      <c r="H85" s="14"/>
      <c r="I85" s="14"/>
    </row>
    <row r="86" spans="1:19" x14ac:dyDescent="0.25">
      <c r="D86" s="13"/>
      <c r="F86" s="14"/>
      <c r="G86" s="14"/>
      <c r="H86" s="14"/>
      <c r="I86" s="14"/>
    </row>
    <row r="87" spans="1:19" x14ac:dyDescent="0.25">
      <c r="D87" s="13"/>
      <c r="F87" s="14"/>
      <c r="G87" s="14"/>
      <c r="H87" s="14"/>
      <c r="I87" s="14"/>
    </row>
    <row r="88" spans="1:19" x14ac:dyDescent="0.25">
      <c r="D88" s="13"/>
      <c r="F88" s="14"/>
      <c r="G88" s="14"/>
      <c r="H88" s="14"/>
      <c r="I88" s="14"/>
    </row>
    <row r="89" spans="1:19" x14ac:dyDescent="0.25">
      <c r="D89" s="13"/>
    </row>
    <row r="90" spans="1:19" x14ac:dyDescent="0.25">
      <c r="D90" s="16" t="s">
        <v>101</v>
      </c>
      <c r="E90" s="4" t="s">
        <v>46</v>
      </c>
      <c r="F90" s="4" t="s">
        <v>47</v>
      </c>
      <c r="G90" s="4" t="s">
        <v>48</v>
      </c>
      <c r="H90" s="4" t="s">
        <v>49</v>
      </c>
      <c r="I90" s="4" t="s">
        <v>50</v>
      </c>
      <c r="J90" s="4" t="s">
        <v>51</v>
      </c>
      <c r="K90" s="4" t="s">
        <v>52</v>
      </c>
      <c r="L90" s="4" t="s">
        <v>53</v>
      </c>
      <c r="M90" s="4" t="s">
        <v>116</v>
      </c>
      <c r="N90" s="4" t="s">
        <v>117</v>
      </c>
      <c r="O90" s="4" t="s">
        <v>118</v>
      </c>
      <c r="P90" s="4" t="s">
        <v>119</v>
      </c>
      <c r="Q90" s="4" t="s">
        <v>120</v>
      </c>
      <c r="R90" s="4" t="s">
        <v>121</v>
      </c>
      <c r="S90" s="4" t="s">
        <v>122</v>
      </c>
    </row>
    <row r="91" spans="1:19" x14ac:dyDescent="0.25">
      <c r="A91" t="s">
        <v>94</v>
      </c>
      <c r="D91" s="13"/>
      <c r="E91" s="11">
        <f>E10</f>
        <v>8587932</v>
      </c>
      <c r="F91" s="11">
        <f t="shared" ref="F91:I91" si="42">F10</f>
        <v>10455032</v>
      </c>
      <c r="G91" s="11">
        <f t="shared" si="42"/>
        <v>15803387</v>
      </c>
      <c r="H91" s="11">
        <f t="shared" si="42"/>
        <v>17093751</v>
      </c>
      <c r="I91" s="11">
        <f t="shared" si="42"/>
        <v>20801798</v>
      </c>
      <c r="J91" s="11">
        <f t="shared" ref="J91:L91" si="43">J10</f>
        <v>23128344</v>
      </c>
      <c r="K91" s="11">
        <f t="shared" si="43"/>
        <v>24164991</v>
      </c>
      <c r="L91" s="11">
        <f t="shared" si="43"/>
        <v>26434145</v>
      </c>
      <c r="M91" s="11">
        <f t="shared" ref="M91:S91" si="44">M10</f>
        <v>28688628.711999997</v>
      </c>
      <c r="N91" s="11">
        <f t="shared" si="44"/>
        <v>31173478.514371999</v>
      </c>
      <c r="O91" s="11">
        <f t="shared" si="44"/>
        <v>33552937.732914355</v>
      </c>
      <c r="P91" s="11">
        <f t="shared" si="44"/>
        <v>35746002.777823053</v>
      </c>
      <c r="Q91" s="11">
        <f t="shared" si="44"/>
        <v>37671934.492290638</v>
      </c>
      <c r="R91" s="11">
        <f t="shared" si="44"/>
        <v>39255660.066930212</v>
      </c>
      <c r="S91" s="11">
        <f t="shared" si="44"/>
        <v>40433329.868938126</v>
      </c>
    </row>
    <row r="92" spans="1:19" x14ac:dyDescent="0.25">
      <c r="A92" t="s">
        <v>102</v>
      </c>
      <c r="D92" s="13"/>
      <c r="E92" s="11">
        <f>E12</f>
        <v>6980032</v>
      </c>
      <c r="F92" s="11">
        <f t="shared" ref="F92:I92" si="45">F12</f>
        <v>8465914</v>
      </c>
      <c r="G92" s="11">
        <f t="shared" si="45"/>
        <v>13126857</v>
      </c>
      <c r="H92" s="11">
        <f t="shared" si="45"/>
        <v>13866578</v>
      </c>
      <c r="I92" s="11">
        <f t="shared" si="45"/>
        <v>17053837</v>
      </c>
      <c r="J92" s="11">
        <f t="shared" ref="J92:L92" si="46">J12</f>
        <v>18892158</v>
      </c>
      <c r="K92" s="11">
        <f t="shared" si="46"/>
        <v>19738933</v>
      </c>
      <c r="L92" s="11">
        <f t="shared" si="46"/>
        <v>21592468</v>
      </c>
      <c r="M92" s="11">
        <f t="shared" ref="M92:S92" si="47">M12</f>
        <v>23434019.477110077</v>
      </c>
      <c r="N92" s="11">
        <f t="shared" si="47"/>
        <v>25463744.189679623</v>
      </c>
      <c r="O92" s="11">
        <f t="shared" si="47"/>
        <v>27407381.657753762</v>
      </c>
      <c r="P92" s="11">
        <f t="shared" si="47"/>
        <v>29198764.909036983</v>
      </c>
      <c r="Q92" s="11">
        <f t="shared" si="47"/>
        <v>30771942.970682684</v>
      </c>
      <c r="R92" s="11">
        <f t="shared" si="47"/>
        <v>32065593.369071275</v>
      </c>
      <c r="S92" s="11">
        <f t="shared" si="47"/>
        <v>33027561.170143418</v>
      </c>
    </row>
    <row r="93" spans="1:19" x14ac:dyDescent="0.25">
      <c r="A93" t="s">
        <v>35</v>
      </c>
      <c r="D93" s="13"/>
      <c r="E93" s="11">
        <f>E91-E92</f>
        <v>1607900</v>
      </c>
      <c r="F93" s="11">
        <f t="shared" ref="F93:I93" si="48">F91-F92</f>
        <v>1989118</v>
      </c>
      <c r="G93" s="11">
        <f t="shared" si="48"/>
        <v>2676530</v>
      </c>
      <c r="H93" s="11">
        <f t="shared" si="48"/>
        <v>3227173</v>
      </c>
      <c r="I93" s="11">
        <f t="shared" si="48"/>
        <v>3747961</v>
      </c>
      <c r="J93" s="11">
        <f t="shared" ref="J93" si="49">J91-J92</f>
        <v>4236186</v>
      </c>
      <c r="K93" s="11">
        <f t="shared" ref="K93" si="50">K91-K92</f>
        <v>4426058</v>
      </c>
      <c r="L93" s="11">
        <f t="shared" ref="L93" si="51">L91-L92</f>
        <v>4841677</v>
      </c>
      <c r="M93" s="11">
        <f t="shared" ref="M93" si="52">M91-M92</f>
        <v>5254609.2348899208</v>
      </c>
      <c r="N93" s="11">
        <f t="shared" ref="N93" si="53">N91-N92</f>
        <v>5709734.324692376</v>
      </c>
      <c r="O93" s="11">
        <f t="shared" ref="O93" si="54">O91-O92</f>
        <v>6145556.0751605928</v>
      </c>
      <c r="P93" s="11">
        <f t="shared" ref="P93" si="55">P91-P92</f>
        <v>6547237.8687860705</v>
      </c>
      <c r="Q93" s="11">
        <f t="shared" ref="Q93" si="56">Q91-Q92</f>
        <v>6899991.5216079541</v>
      </c>
      <c r="R93" s="11">
        <f t="shared" ref="R93" si="57">R91-R92</f>
        <v>7190066.6978589371</v>
      </c>
      <c r="S93" s="11">
        <f t="shared" ref="S93" si="58">S91-S92</f>
        <v>7405768.6987947077</v>
      </c>
    </row>
    <row r="94" spans="1:19" x14ac:dyDescent="0.25">
      <c r="A94" t="s">
        <v>103</v>
      </c>
      <c r="D94" s="13"/>
      <c r="E94" s="11">
        <f>E14</f>
        <v>15158</v>
      </c>
      <c r="F94" s="11">
        <f>F14</f>
        <v>47362</v>
      </c>
      <c r="G94" s="11">
        <f>G14</f>
        <v>18428</v>
      </c>
      <c r="H94" s="11">
        <f>H14</f>
        <v>28245</v>
      </c>
      <c r="I94" s="11">
        <f>I14</f>
        <v>47175</v>
      </c>
      <c r="J94" s="11">
        <f t="shared" ref="J94:L94" si="59">J14</f>
        <v>52732</v>
      </c>
      <c r="K94" s="11">
        <f t="shared" si="59"/>
        <v>55098</v>
      </c>
      <c r="L94" s="11">
        <f t="shared" si="59"/>
        <v>60269</v>
      </c>
      <c r="M94" s="11">
        <f t="shared" ref="M94:S94" si="60">M14</f>
        <v>65410.073463359993</v>
      </c>
      <c r="N94" s="11">
        <f t="shared" si="60"/>
        <v>71075.531012768159</v>
      </c>
      <c r="O94" s="11">
        <f t="shared" si="60"/>
        <v>76500.698031044725</v>
      </c>
      <c r="P94" s="11">
        <f t="shared" si="60"/>
        <v>81500.88633343656</v>
      </c>
      <c r="Q94" s="11">
        <f t="shared" si="60"/>
        <v>85892.010642422654</v>
      </c>
      <c r="R94" s="11">
        <f t="shared" si="60"/>
        <v>89502.904952600875</v>
      </c>
      <c r="S94" s="11">
        <f t="shared" si="60"/>
        <v>92187.992101178927</v>
      </c>
    </row>
    <row r="95" spans="1:19" x14ac:dyDescent="0.25">
      <c r="A95" t="s">
        <v>104</v>
      </c>
      <c r="E95" s="11">
        <f>E15</f>
        <v>1246078</v>
      </c>
      <c r="F95" s="11">
        <f>F15</f>
        <v>1685753</v>
      </c>
      <c r="G95" s="11">
        <f>G15</f>
        <v>2025588</v>
      </c>
      <c r="H95" s="11">
        <f>H15</f>
        <v>2326161</v>
      </c>
      <c r="I95" s="11">
        <f>I15</f>
        <v>2680778</v>
      </c>
      <c r="J95" s="11">
        <f t="shared" ref="J95:L95" si="61">J15</f>
        <v>2980550</v>
      </c>
      <c r="K95" s="11">
        <f t="shared" si="61"/>
        <v>3114201</v>
      </c>
      <c r="L95" s="11">
        <f t="shared" si="61"/>
        <v>3406632</v>
      </c>
      <c r="M95" s="11">
        <f t="shared" ref="M95:S95" si="62">M15</f>
        <v>3697103.5821154402</v>
      </c>
      <c r="N95" s="11">
        <f t="shared" si="62"/>
        <v>4017326.1761471201</v>
      </c>
      <c r="O95" s="11">
        <f t="shared" si="62"/>
        <v>4323967.0856406735</v>
      </c>
      <c r="P95" s="11">
        <f t="shared" si="62"/>
        <v>4606587.3779780576</v>
      </c>
      <c r="Q95" s="11">
        <f t="shared" si="62"/>
        <v>4854782.1980214948</v>
      </c>
      <c r="R95" s="11">
        <f t="shared" si="62"/>
        <v>5058876.9128252966</v>
      </c>
      <c r="S95" s="11">
        <f t="shared" si="62"/>
        <v>5210643.2202100568</v>
      </c>
    </row>
    <row r="96" spans="1:19" x14ac:dyDescent="0.25">
      <c r="A96" t="s">
        <v>54</v>
      </c>
      <c r="E96" s="11">
        <f>E93+E94-E95</f>
        <v>376980</v>
      </c>
      <c r="F96" s="11">
        <f t="shared" ref="F96:I96" si="63">F93+F94-F95</f>
        <v>350727</v>
      </c>
      <c r="G96" s="11">
        <f t="shared" si="63"/>
        <v>669370</v>
      </c>
      <c r="H96" s="11">
        <f t="shared" si="63"/>
        <v>929257</v>
      </c>
      <c r="I96" s="11">
        <f t="shared" si="63"/>
        <v>1114358</v>
      </c>
      <c r="J96" s="11">
        <f t="shared" ref="J96" si="64">J93+J94-J95</f>
        <v>1308368</v>
      </c>
      <c r="K96" s="11">
        <f t="shared" ref="K96" si="65">K93+K94-K95</f>
        <v>1366955</v>
      </c>
      <c r="L96" s="11">
        <f t="shared" ref="L96" si="66">L93+L94-L95</f>
        <v>1495314</v>
      </c>
      <c r="M96" s="11">
        <f t="shared" ref="M96" si="67">M93+M94-M95</f>
        <v>1622915.7262378405</v>
      </c>
      <c r="N96" s="11">
        <f t="shared" ref="N96" si="68">N93+N94-N95</f>
        <v>1763483.6795580238</v>
      </c>
      <c r="O96" s="11">
        <f t="shared" ref="O96" si="69">O93+O94-O95</f>
        <v>1898089.6875509638</v>
      </c>
      <c r="P96" s="11">
        <f t="shared" ref="P96" si="70">P93+P94-P95</f>
        <v>2022151.3771414496</v>
      </c>
      <c r="Q96" s="11">
        <f t="shared" ref="Q96" si="71">Q93+Q94-Q95</f>
        <v>2131101.3342288816</v>
      </c>
      <c r="R96" s="11">
        <f t="shared" ref="R96" si="72">R93+R94-R95</f>
        <v>2220692.6899862411</v>
      </c>
      <c r="S96" s="11">
        <f t="shared" ref="S96" si="73">S93+S94-S95</f>
        <v>2287313.4706858294</v>
      </c>
    </row>
    <row r="98" spans="1:19" x14ac:dyDescent="0.25">
      <c r="A98" t="s">
        <v>105</v>
      </c>
      <c r="E98" s="11">
        <v>50000</v>
      </c>
      <c r="F98" s="11">
        <f>(F41-E41)+(F17-E17)</f>
        <v>57227</v>
      </c>
      <c r="G98" s="11">
        <f t="shared" ref="G98:I98" si="74">(G41-F41)+(G17-F17)</f>
        <v>71717</v>
      </c>
      <c r="H98" s="11">
        <f t="shared" si="74"/>
        <v>137659</v>
      </c>
      <c r="I98" s="11">
        <f t="shared" si="74"/>
        <v>148742</v>
      </c>
      <c r="J98" s="11">
        <f>(J41-I41)+(J17-I17)</f>
        <v>273350</v>
      </c>
      <c r="K98" s="11">
        <f t="shared" ref="J98:L98" si="75">(K41-J41)+(K17-J17)</f>
        <v>274300</v>
      </c>
      <c r="L98" s="11">
        <f t="shared" si="75"/>
        <v>292401</v>
      </c>
      <c r="M98" s="11">
        <f t="shared" ref="M98:S98" si="76">(M41-L41)+(M17-L17)</f>
        <v>306329.0093899999</v>
      </c>
      <c r="N98" s="11">
        <f t="shared" si="76"/>
        <v>367784.25921433727</v>
      </c>
      <c r="O98" s="11">
        <f t="shared" si="76"/>
        <v>384911.54917842668</v>
      </c>
      <c r="P98" s="11">
        <f t="shared" si="76"/>
        <v>404209.27145134105</v>
      </c>
      <c r="Q98" s="11">
        <f t="shared" si="76"/>
        <v>425231.74340030301</v>
      </c>
      <c r="R98" s="11">
        <f t="shared" si="76"/>
        <v>447449.06199621753</v>
      </c>
      <c r="S98" s="11">
        <f t="shared" si="76"/>
        <v>470262.0812073563</v>
      </c>
    </row>
    <row r="99" spans="1:19" x14ac:dyDescent="0.25">
      <c r="A99" t="s">
        <v>56</v>
      </c>
      <c r="E99" s="11">
        <f>E96-E98</f>
        <v>326980</v>
      </c>
      <c r="F99" s="11">
        <f t="shared" ref="F99" si="77">F96-F98</f>
        <v>293500</v>
      </c>
      <c r="G99" s="11">
        <f t="shared" ref="G99" si="78">G96-G98</f>
        <v>597653</v>
      </c>
      <c r="H99" s="11">
        <f t="shared" ref="H99" si="79">H96-H98</f>
        <v>791598</v>
      </c>
      <c r="I99" s="11">
        <f t="shared" ref="I99" si="80">I96-I98</f>
        <v>965616</v>
      </c>
      <c r="J99" s="11">
        <f t="shared" ref="J99" si="81">J96-J98</f>
        <v>1035018</v>
      </c>
      <c r="K99" s="11">
        <f t="shared" ref="K99" si="82">K96-K98</f>
        <v>1092655</v>
      </c>
      <c r="L99" s="11">
        <f t="shared" ref="L99" si="83">L96-L98</f>
        <v>1202913</v>
      </c>
      <c r="M99" s="11">
        <f t="shared" ref="M99" si="84">M96-M98</f>
        <v>1316586.7168478407</v>
      </c>
      <c r="N99" s="11">
        <f t="shared" ref="N99" si="85">N96-N98</f>
        <v>1395699.4203436866</v>
      </c>
      <c r="O99" s="11">
        <f t="shared" ref="O99" si="86">O96-O98</f>
        <v>1513178.1383725372</v>
      </c>
      <c r="P99" s="11">
        <f t="shared" ref="P99" si="87">P96-P98</f>
        <v>1617942.1056901086</v>
      </c>
      <c r="Q99" s="11">
        <f t="shared" ref="Q99" si="88">Q96-Q98</f>
        <v>1705869.5908285787</v>
      </c>
      <c r="R99" s="11">
        <f t="shared" ref="R99" si="89">R96-R98</f>
        <v>1773243.6279900235</v>
      </c>
      <c r="S99" s="11">
        <f t="shared" ref="S99" si="90">S96-S98</f>
        <v>1817051.389478473</v>
      </c>
    </row>
    <row r="100" spans="1:19" x14ac:dyDescent="0.25">
      <c r="A100" t="s">
        <v>107</v>
      </c>
      <c r="E100" s="5">
        <f>E99*(1-E74)</f>
        <v>319382.85748612531</v>
      </c>
      <c r="F100" s="5">
        <f t="shared" ref="F100:I100" si="91">F99*(1-F74)</f>
        <v>251279.36196289817</v>
      </c>
      <c r="G100" s="5">
        <f t="shared" si="91"/>
        <v>520704.729707113</v>
      </c>
      <c r="H100" s="5">
        <f t="shared" si="91"/>
        <v>729983.47228882648</v>
      </c>
      <c r="I100" s="5">
        <f t="shared" si="91"/>
        <v>761208.73505137407</v>
      </c>
      <c r="J100" s="5">
        <f t="shared" ref="J100" si="92">J99*(1-J74)</f>
        <v>1035018</v>
      </c>
      <c r="K100" s="5">
        <f t="shared" ref="K100" si="93">K99*(1-K74)</f>
        <v>1092655</v>
      </c>
      <c r="L100" s="5">
        <f t="shared" ref="L100" si="94">L99*(1-L74)</f>
        <v>1202913</v>
      </c>
      <c r="M100" s="5">
        <f t="shared" ref="M100" si="95">M99*(1-M74)</f>
        <v>1316586.7168478407</v>
      </c>
      <c r="N100" s="5">
        <f t="shared" ref="N100" si="96">N99*(1-N74)</f>
        <v>1395699.4203436866</v>
      </c>
      <c r="O100" s="5">
        <f t="shared" ref="O100" si="97">O99*(1-O74)</f>
        <v>1513178.1383725372</v>
      </c>
      <c r="P100" s="5">
        <f t="shared" ref="P100" si="98">P99*(1-P74)</f>
        <v>1617942.1056901086</v>
      </c>
      <c r="Q100" s="5">
        <f t="shared" ref="Q100" si="99">Q99*(1-Q74)</f>
        <v>1705869.5908285787</v>
      </c>
      <c r="R100" s="5">
        <f t="shared" ref="R100" si="100">R99*(1-R74)</f>
        <v>1773243.6279900235</v>
      </c>
      <c r="S100" s="5">
        <f t="shared" ref="S100" si="101">S99*(1-S74)</f>
        <v>1817051.389478473</v>
      </c>
    </row>
    <row r="102" spans="1:19" x14ac:dyDescent="0.25">
      <c r="A102" t="s">
        <v>108</v>
      </c>
    </row>
    <row r="103" spans="1:19" x14ac:dyDescent="0.25">
      <c r="A103" t="s">
        <v>109</v>
      </c>
      <c r="E103" s="11">
        <f>E98</f>
        <v>50000</v>
      </c>
      <c r="F103" s="11">
        <f t="shared" ref="F103:I103" si="102">F98</f>
        <v>57227</v>
      </c>
      <c r="G103" s="11">
        <f t="shared" si="102"/>
        <v>71717</v>
      </c>
      <c r="H103" s="11">
        <f t="shared" si="102"/>
        <v>137659</v>
      </c>
      <c r="I103" s="11">
        <f t="shared" si="102"/>
        <v>148742</v>
      </c>
      <c r="J103" s="11">
        <f t="shared" ref="J103:L103" si="103">J98</f>
        <v>273350</v>
      </c>
      <c r="K103" s="11">
        <f t="shared" si="103"/>
        <v>274300</v>
      </c>
      <c r="L103" s="11">
        <f t="shared" si="103"/>
        <v>292401</v>
      </c>
      <c r="M103" s="11">
        <f t="shared" ref="M103:S103" si="104">M98</f>
        <v>306329.0093899999</v>
      </c>
      <c r="N103" s="11">
        <f t="shared" si="104"/>
        <v>367784.25921433727</v>
      </c>
      <c r="O103" s="11">
        <f t="shared" si="104"/>
        <v>384911.54917842668</v>
      </c>
      <c r="P103" s="11">
        <f t="shared" si="104"/>
        <v>404209.27145134105</v>
      </c>
      <c r="Q103" s="11">
        <f t="shared" si="104"/>
        <v>425231.74340030301</v>
      </c>
      <c r="R103" s="11">
        <f t="shared" si="104"/>
        <v>447449.06199621753</v>
      </c>
      <c r="S103" s="11">
        <f t="shared" si="104"/>
        <v>470262.0812073563</v>
      </c>
    </row>
    <row r="105" spans="1:19" x14ac:dyDescent="0.25">
      <c r="A105" t="s">
        <v>110</v>
      </c>
      <c r="E105" s="11">
        <f>F105</f>
        <v>850355</v>
      </c>
      <c r="F105" s="11">
        <f>F75-E75</f>
        <v>850355</v>
      </c>
      <c r="G105" s="11">
        <f t="shared" ref="G105:I105" si="105">G75-F75</f>
        <v>482156</v>
      </c>
      <c r="H105" s="11">
        <f t="shared" si="105"/>
        <v>1151156</v>
      </c>
      <c r="I105" s="11">
        <f t="shared" si="105"/>
        <v>817839</v>
      </c>
      <c r="J105" s="11">
        <f t="shared" ref="J105:L105" si="106">J75-I75</f>
        <v>1784257</v>
      </c>
      <c r="K105" s="11">
        <f t="shared" si="106"/>
        <v>278912</v>
      </c>
      <c r="L105" s="11">
        <f t="shared" si="106"/>
        <v>610519</v>
      </c>
      <c r="M105" s="11">
        <f t="shared" ref="M105:S105" si="107">M75-L75</f>
        <v>-7112158</v>
      </c>
      <c r="N105" s="11">
        <f t="shared" si="107"/>
        <v>0</v>
      </c>
      <c r="O105" s="11">
        <f t="shared" si="107"/>
        <v>0</v>
      </c>
      <c r="P105" s="11">
        <f t="shared" si="107"/>
        <v>0</v>
      </c>
      <c r="Q105" s="11">
        <f t="shared" si="107"/>
        <v>0</v>
      </c>
      <c r="R105" s="11">
        <f t="shared" si="107"/>
        <v>0</v>
      </c>
      <c r="S105" s="11">
        <f t="shared" si="107"/>
        <v>0</v>
      </c>
    </row>
    <row r="107" spans="1:19" x14ac:dyDescent="0.25">
      <c r="A107" t="s">
        <v>111</v>
      </c>
      <c r="E107" s="11">
        <f>F107</f>
        <v>605265</v>
      </c>
      <c r="F107" s="11">
        <f>(F42-E42)+(F46-E46)</f>
        <v>605265</v>
      </c>
      <c r="G107" s="11">
        <f t="shared" ref="G107:I107" si="108">(G42-F42)+(G46-F46)</f>
        <v>448379</v>
      </c>
      <c r="H107" s="11">
        <f t="shared" si="108"/>
        <v>1115325</v>
      </c>
      <c r="I107" s="11">
        <f t="shared" si="108"/>
        <v>881609</v>
      </c>
      <c r="J107" s="11">
        <f t="shared" ref="J107:L107" si="109">(J42-I42)+(J46-I46)</f>
        <v>-471438</v>
      </c>
      <c r="K107" s="11">
        <f t="shared" si="109"/>
        <v>229485</v>
      </c>
      <c r="L107" s="11">
        <f t="shared" si="109"/>
        <v>176358</v>
      </c>
      <c r="M107" s="11">
        <f t="shared" ref="M107:S107" si="110">(M42-L42)+(M46-L46)</f>
        <v>781895.23939885944</v>
      </c>
      <c r="N107" s="11">
        <f t="shared" si="110"/>
        <v>217251.90364487283</v>
      </c>
      <c r="O107" s="11">
        <f t="shared" si="110"/>
        <v>244952.78247194365</v>
      </c>
      <c r="P107" s="11">
        <f t="shared" si="110"/>
        <v>266973.26175498217</v>
      </c>
      <c r="Q107" s="11">
        <f t="shared" si="110"/>
        <v>282240.63328736927</v>
      </c>
      <c r="R107" s="11">
        <f t="shared" si="110"/>
        <v>289872.97455868218</v>
      </c>
      <c r="S107" s="11">
        <f t="shared" si="110"/>
        <v>289268.69025500119</v>
      </c>
    </row>
    <row r="108" spans="1:19" x14ac:dyDescent="0.25">
      <c r="A108" t="s">
        <v>112</v>
      </c>
    </row>
    <row r="110" spans="1:19" x14ac:dyDescent="0.25">
      <c r="A110" t="s">
        <v>113</v>
      </c>
      <c r="E110" s="11">
        <f>E100+E103-E105-E107</f>
        <v>-1086237.1425138747</v>
      </c>
      <c r="F110" s="11">
        <f t="shared" ref="F110:I110" si="111">F100+F103-F105-F107</f>
        <v>-1147113.6380371018</v>
      </c>
      <c r="G110" s="11">
        <f t="shared" si="111"/>
        <v>-338113.270292887</v>
      </c>
      <c r="H110" s="11">
        <f t="shared" si="111"/>
        <v>-1398838.5277111735</v>
      </c>
      <c r="I110" s="11">
        <f t="shared" si="111"/>
        <v>-789497.26494862593</v>
      </c>
      <c r="J110" s="11">
        <f t="shared" ref="J110:L110" si="112">J100+J103-J105-J107</f>
        <v>-4451</v>
      </c>
      <c r="K110" s="11">
        <f t="shared" si="112"/>
        <v>858558</v>
      </c>
      <c r="L110" s="11">
        <f t="shared" si="112"/>
        <v>708437</v>
      </c>
      <c r="M110" s="11">
        <f t="shared" ref="M110:S110" si="113">M100+M103-M105-M107</f>
        <v>7953178.4868389815</v>
      </c>
      <c r="N110" s="11">
        <f t="shared" si="113"/>
        <v>1546231.775913151</v>
      </c>
      <c r="O110" s="11">
        <f t="shared" si="113"/>
        <v>1653136.9050790202</v>
      </c>
      <c r="P110" s="11">
        <f t="shared" si="113"/>
        <v>1755178.1153864674</v>
      </c>
      <c r="Q110" s="11">
        <f t="shared" si="113"/>
        <v>1848860.7009415124</v>
      </c>
      <c r="R110" s="11">
        <f t="shared" si="113"/>
        <v>1930819.7154275589</v>
      </c>
      <c r="S110" s="11">
        <f t="shared" si="113"/>
        <v>1998044.7804308282</v>
      </c>
    </row>
    <row r="112" spans="1:19" x14ac:dyDescent="0.25">
      <c r="D112" s="17" t="s">
        <v>127</v>
      </c>
    </row>
    <row r="113" spans="1:19" x14ac:dyDescent="0.25">
      <c r="D113" s="17"/>
      <c r="E113" s="18" t="s">
        <v>46</v>
      </c>
      <c r="F113" s="18" t="s">
        <v>47</v>
      </c>
      <c r="G113" s="18" t="s">
        <v>48</v>
      </c>
      <c r="H113" s="18" t="s">
        <v>49</v>
      </c>
      <c r="I113" s="18" t="s">
        <v>50</v>
      </c>
      <c r="J113" s="4" t="s">
        <v>51</v>
      </c>
      <c r="K113" s="4" t="s">
        <v>52</v>
      </c>
      <c r="L113" s="4" t="s">
        <v>53</v>
      </c>
      <c r="M113" s="4" t="s">
        <v>116</v>
      </c>
      <c r="N113" s="4" t="s">
        <v>117</v>
      </c>
      <c r="O113" s="4" t="s">
        <v>118</v>
      </c>
      <c r="P113" s="4" t="s">
        <v>119</v>
      </c>
      <c r="Q113" s="4" t="s">
        <v>120</v>
      </c>
      <c r="R113" s="4" t="s">
        <v>121</v>
      </c>
      <c r="S113" s="4" t="s">
        <v>122</v>
      </c>
    </row>
    <row r="114" spans="1:19" x14ac:dyDescent="0.25">
      <c r="A114" t="s">
        <v>128</v>
      </c>
      <c r="E114" s="19">
        <f>E110</f>
        <v>-1086237.1425138747</v>
      </c>
      <c r="F114" s="19">
        <f t="shared" ref="F114:S114" si="114">F110</f>
        <v>-1147113.6380371018</v>
      </c>
      <c r="G114" s="19">
        <f t="shared" si="114"/>
        <v>-338113.270292887</v>
      </c>
      <c r="H114" s="19">
        <f t="shared" si="114"/>
        <v>-1398838.5277111735</v>
      </c>
      <c r="I114" s="19">
        <f t="shared" si="114"/>
        <v>-789497.26494862593</v>
      </c>
      <c r="J114" s="11">
        <f t="shared" si="114"/>
        <v>-4451</v>
      </c>
      <c r="K114" s="11">
        <f t="shared" si="114"/>
        <v>858558</v>
      </c>
      <c r="L114" s="11">
        <f t="shared" si="114"/>
        <v>708437</v>
      </c>
      <c r="M114" s="11">
        <f t="shared" si="114"/>
        <v>7953178.4868389815</v>
      </c>
      <c r="N114" s="11">
        <f t="shared" si="114"/>
        <v>1546231.775913151</v>
      </c>
      <c r="O114" s="11">
        <f t="shared" si="114"/>
        <v>1653136.9050790202</v>
      </c>
      <c r="P114" s="11">
        <f t="shared" si="114"/>
        <v>1755178.1153864674</v>
      </c>
      <c r="Q114" s="11">
        <f t="shared" si="114"/>
        <v>1848860.7009415124</v>
      </c>
      <c r="R114" s="11">
        <f t="shared" si="114"/>
        <v>1930819.7154275589</v>
      </c>
      <c r="S114" s="11">
        <f t="shared" si="114"/>
        <v>1998044.7804308282</v>
      </c>
    </row>
    <row r="115" spans="1:19" x14ac:dyDescent="0.25">
      <c r="A115" t="s">
        <v>131</v>
      </c>
      <c r="E115" s="19"/>
      <c r="F115" s="19"/>
      <c r="G115" s="19"/>
      <c r="H115" s="19"/>
      <c r="I115" s="19"/>
      <c r="J115" s="22">
        <v>1</v>
      </c>
      <c r="K115" s="22">
        <v>2</v>
      </c>
      <c r="L115" s="22">
        <v>3</v>
      </c>
      <c r="M115" s="22">
        <v>4</v>
      </c>
      <c r="N115" s="22">
        <v>5</v>
      </c>
      <c r="O115" s="22">
        <v>6</v>
      </c>
      <c r="P115" s="22">
        <v>7</v>
      </c>
      <c r="Q115" s="22">
        <v>8</v>
      </c>
      <c r="R115" s="22">
        <v>9</v>
      </c>
      <c r="S115" s="22">
        <v>10</v>
      </c>
    </row>
    <row r="116" spans="1:19" x14ac:dyDescent="0.25">
      <c r="E116" s="19"/>
      <c r="F116" s="19"/>
      <c r="G116" s="19"/>
      <c r="H116" s="19"/>
      <c r="I116" s="19"/>
      <c r="J116" s="22"/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:19" x14ac:dyDescent="0.25">
      <c r="A117" t="s">
        <v>132</v>
      </c>
      <c r="E117" s="19"/>
      <c r="F117" s="19"/>
      <c r="G117" s="19"/>
      <c r="H117" s="19"/>
      <c r="I117" s="19"/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:19" x14ac:dyDescent="0.25">
      <c r="A118" t="s">
        <v>133</v>
      </c>
      <c r="E118" s="19" t="s">
        <v>145</v>
      </c>
      <c r="F118" s="19"/>
      <c r="G118" s="19"/>
      <c r="H118" s="19"/>
      <c r="I118" s="19"/>
      <c r="J118" s="21">
        <v>1.56</v>
      </c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:19" x14ac:dyDescent="0.25">
      <c r="A119" t="s">
        <v>134</v>
      </c>
      <c r="E119" s="19" t="s">
        <v>147</v>
      </c>
      <c r="F119" s="19"/>
      <c r="G119" s="19"/>
      <c r="H119" s="19"/>
      <c r="I119" s="19"/>
      <c r="J119" s="24">
        <f>$J$118/(1+(1-$J$121)*$I$57/$I$64)</f>
        <v>0.49880132138729022</v>
      </c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:19" x14ac:dyDescent="0.25">
      <c r="A120" t="s">
        <v>135</v>
      </c>
      <c r="E120" s="19" t="s">
        <v>145</v>
      </c>
      <c r="F120" s="19"/>
      <c r="G120" s="19"/>
      <c r="H120" s="19"/>
      <c r="I120" s="19"/>
      <c r="J120" s="23">
        <v>0.03</v>
      </c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:19" x14ac:dyDescent="0.25">
      <c r="A121" t="s">
        <v>136</v>
      </c>
      <c r="E121" s="19" t="s">
        <v>145</v>
      </c>
      <c r="F121" s="19"/>
      <c r="G121" s="19"/>
      <c r="H121" s="19"/>
      <c r="I121" s="19"/>
      <c r="J121" s="23">
        <v>0.17</v>
      </c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:19" x14ac:dyDescent="0.25">
      <c r="A122" t="s">
        <v>137</v>
      </c>
      <c r="E122" s="19" t="s">
        <v>148</v>
      </c>
      <c r="F122" s="19"/>
      <c r="G122" s="19"/>
      <c r="H122" s="19"/>
      <c r="I122" s="19"/>
      <c r="J122" s="25">
        <f>OlamCostofCapital!D30</f>
        <v>5.3805872936463134E-2</v>
      </c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:19" x14ac:dyDescent="0.25">
      <c r="A123" t="s">
        <v>138</v>
      </c>
      <c r="E123" s="19" t="s">
        <v>146</v>
      </c>
      <c r="F123" s="19"/>
      <c r="G123" s="19"/>
      <c r="H123" s="19"/>
      <c r="I123" s="19"/>
      <c r="J123" s="23">
        <v>0.02</v>
      </c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:19" x14ac:dyDescent="0.25">
      <c r="A124" t="s">
        <v>139</v>
      </c>
      <c r="E124" s="19"/>
      <c r="F124" s="19"/>
      <c r="G124" s="19"/>
      <c r="H124" s="19"/>
      <c r="I124" s="19"/>
      <c r="J124" s="25">
        <f>J122-J123</f>
        <v>3.380587293646313E-2</v>
      </c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:19" x14ac:dyDescent="0.25">
      <c r="A125" t="s">
        <v>140</v>
      </c>
      <c r="E125" s="19"/>
      <c r="F125" s="19"/>
      <c r="G125" s="19"/>
      <c r="H125" s="19"/>
      <c r="I125" s="19"/>
      <c r="J125" s="22"/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:19" x14ac:dyDescent="0.25">
      <c r="A126" t="s">
        <v>141</v>
      </c>
      <c r="E126" s="19"/>
      <c r="F126" s="19"/>
      <c r="G126" s="19"/>
      <c r="H126" s="19"/>
      <c r="I126" s="19"/>
      <c r="J126" s="22"/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:19" x14ac:dyDescent="0.25">
      <c r="A127" t="s">
        <v>142</v>
      </c>
      <c r="E127" s="19"/>
      <c r="F127" s="19"/>
      <c r="G127" s="19"/>
      <c r="H127" s="19"/>
      <c r="I127" s="19"/>
      <c r="J127" s="22"/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:19" x14ac:dyDescent="0.25">
      <c r="A128" t="s">
        <v>143</v>
      </c>
      <c r="E128" s="19"/>
      <c r="F128" s="19"/>
      <c r="G128" s="19"/>
      <c r="H128" s="19"/>
      <c r="I128" s="19"/>
      <c r="J128" s="22"/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:19" x14ac:dyDescent="0.25">
      <c r="A129" t="s">
        <v>144</v>
      </c>
      <c r="E129" s="19"/>
      <c r="F129" s="19"/>
      <c r="G129" s="19"/>
      <c r="H129" s="19"/>
      <c r="I129" s="19"/>
      <c r="J129" s="22"/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:19" x14ac:dyDescent="0.25">
      <c r="E130" s="19"/>
      <c r="F130" s="19"/>
      <c r="G130" s="19"/>
      <c r="H130" s="19"/>
      <c r="I130" s="19"/>
      <c r="J130" s="22"/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:19" x14ac:dyDescent="0.25">
      <c r="E131" s="19"/>
      <c r="F131" s="19"/>
      <c r="G131" s="19"/>
      <c r="H131" s="19"/>
      <c r="I131" s="19"/>
      <c r="J131" s="22"/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:19" x14ac:dyDescent="0.25">
      <c r="E132" s="19"/>
      <c r="F132" s="19"/>
      <c r="G132" s="19"/>
      <c r="H132" s="19"/>
      <c r="I132" s="19"/>
      <c r="J132" s="22"/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:19" x14ac:dyDescent="0.25">
      <c r="A133" t="s">
        <v>129</v>
      </c>
      <c r="E133" s="20"/>
      <c r="F133" s="20"/>
      <c r="G133" s="20"/>
      <c r="H133" s="20"/>
      <c r="I133" s="20"/>
    </row>
    <row r="134" spans="1:19" x14ac:dyDescent="0.25">
      <c r="A134" t="s">
        <v>130</v>
      </c>
      <c r="E134" s="20"/>
      <c r="F134" s="20"/>
      <c r="G134" s="20"/>
      <c r="H134" s="20"/>
      <c r="I134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OlamCostofCapital</vt:lpstr>
      <vt:lpstr>Results</vt:lpstr>
      <vt:lpstr>WIP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</dc:creator>
  <cp:lastModifiedBy>Gamer</cp:lastModifiedBy>
  <dcterms:created xsi:type="dcterms:W3CDTF">2015-09-27T18:32:17Z</dcterms:created>
  <dcterms:modified xsi:type="dcterms:W3CDTF">2015-10-16T03:46:41Z</dcterms:modified>
</cp:coreProperties>
</file>