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360" windowHeight="11760" activeTab="1"/>
  </bookViews>
  <sheets>
    <sheet name="Assumptions" sheetId="1" r:id="rId1"/>
    <sheet name="Company Financials" sheetId="2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41764.8763773148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'Company Financials'!$B$1:$I$156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150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2" l="1"/>
  <c r="G44" i="2"/>
  <c r="F128" i="2"/>
  <c r="E128" i="2"/>
  <c r="E119" i="2"/>
  <c r="I32" i="2" l="1"/>
  <c r="F71" i="2" l="1"/>
  <c r="E71" i="2"/>
  <c r="C66" i="2"/>
  <c r="G67" i="2"/>
  <c r="H67" i="2" s="1"/>
  <c r="C153" i="2"/>
  <c r="C154" i="2"/>
  <c r="H148" i="2"/>
  <c r="E144" i="2"/>
  <c r="F144" i="2"/>
  <c r="G142" i="2" s="1"/>
  <c r="E98" i="2"/>
  <c r="F97" i="2"/>
  <c r="F99" i="2"/>
  <c r="G97" i="2" s="1"/>
  <c r="G151" i="2" s="1"/>
  <c r="G153" i="2" s="1"/>
  <c r="F91" i="2"/>
  <c r="E91" i="2"/>
  <c r="H78" i="2"/>
  <c r="G78" i="2"/>
  <c r="F78" i="2"/>
  <c r="E78" i="2"/>
  <c r="F122" i="2"/>
  <c r="E122" i="2"/>
  <c r="F119" i="2"/>
  <c r="C56" i="2"/>
  <c r="I31" i="2"/>
  <c r="I26" i="2"/>
  <c r="E79" i="2"/>
  <c r="E136" i="2"/>
  <c r="F136" i="2"/>
  <c r="C117" i="2"/>
  <c r="H117" i="2" s="1"/>
  <c r="F152" i="2" l="1"/>
  <c r="F98" i="2"/>
  <c r="F151" i="2"/>
  <c r="G117" i="2"/>
  <c r="E125" i="2" l="1"/>
  <c r="E116" i="2"/>
  <c r="E110" i="2"/>
  <c r="F116" i="2"/>
  <c r="E113" i="2"/>
  <c r="F137" i="2"/>
  <c r="F135" i="2" s="1"/>
  <c r="F44" i="2" s="1"/>
  <c r="F83" i="2" s="1"/>
  <c r="F84" i="2" s="1"/>
  <c r="E137" i="2"/>
  <c r="E135" i="2" s="1"/>
  <c r="E44" i="2" s="1"/>
  <c r="E83" i="2" s="1"/>
  <c r="E84" i="2" s="1"/>
  <c r="H136" i="2"/>
  <c r="G136" i="2"/>
  <c r="G141" i="2"/>
  <c r="H141" i="2" s="1"/>
  <c r="G133" i="2"/>
  <c r="H133" i="2" s="1"/>
  <c r="G106" i="2"/>
  <c r="H106" i="2" s="1"/>
  <c r="G76" i="2"/>
  <c r="H76" i="2" s="1"/>
  <c r="G48" i="2"/>
  <c r="H48" i="2" s="1"/>
  <c r="G36" i="2"/>
  <c r="H36" i="2" s="1"/>
  <c r="H43" i="2"/>
  <c r="G43" i="2"/>
  <c r="H41" i="2"/>
  <c r="H40" i="2"/>
  <c r="G41" i="2"/>
  <c r="G40" i="2"/>
  <c r="I22" i="2"/>
  <c r="I13" i="2"/>
  <c r="I12" i="2"/>
  <c r="I11" i="2"/>
  <c r="I8" i="2"/>
  <c r="I7" i="2"/>
  <c r="I6" i="2"/>
  <c r="F9" i="2"/>
  <c r="H19" i="2"/>
  <c r="H18" i="2"/>
  <c r="H17" i="2"/>
  <c r="G19" i="2"/>
  <c r="G18" i="2"/>
  <c r="G17" i="2"/>
  <c r="H135" i="2" l="1"/>
  <c r="F68" i="2"/>
  <c r="E68" i="2"/>
  <c r="F57" i="2"/>
  <c r="F117" i="2" s="1"/>
  <c r="E57" i="2"/>
  <c r="E117" i="2" s="1"/>
  <c r="E54" i="2"/>
  <c r="F64" i="2"/>
  <c r="E64" i="2"/>
  <c r="G9" i="2"/>
  <c r="G23" i="2" s="1"/>
  <c r="H9" i="2"/>
  <c r="I9" i="2" s="1"/>
  <c r="E72" i="2" l="1"/>
  <c r="G135" i="2"/>
  <c r="G83" i="2"/>
  <c r="E58" i="2"/>
  <c r="F72" i="2"/>
  <c r="E73" i="2" l="1"/>
  <c r="F19" i="2" l="1"/>
  <c r="E19" i="2"/>
  <c r="F18" i="2"/>
  <c r="E18" i="2"/>
  <c r="E17" i="2"/>
  <c r="H14" i="2"/>
  <c r="H108" i="2" s="1"/>
  <c r="G14" i="2"/>
  <c r="F14" i="2"/>
  <c r="E14" i="2"/>
  <c r="F23" i="2"/>
  <c r="E9" i="2"/>
  <c r="G20" i="2" l="1"/>
  <c r="G108" i="2"/>
  <c r="H119" i="2"/>
  <c r="H61" i="2" s="1"/>
  <c r="H122" i="2"/>
  <c r="H62" i="2" s="1"/>
  <c r="H113" i="2"/>
  <c r="H20" i="2"/>
  <c r="I14" i="2"/>
  <c r="E20" i="2"/>
  <c r="H15" i="2"/>
  <c r="F15" i="2"/>
  <c r="F24" i="2" s="1"/>
  <c r="F30" i="2" s="1"/>
  <c r="F20" i="2"/>
  <c r="E23" i="2"/>
  <c r="G15" i="2"/>
  <c r="G24" i="2" s="1"/>
  <c r="G30" i="2" s="1"/>
  <c r="E15" i="2"/>
  <c r="E24" i="2" s="1"/>
  <c r="E30" i="2" s="1"/>
  <c r="G119" i="2" l="1"/>
  <c r="G61" i="2" s="1"/>
  <c r="G122" i="2"/>
  <c r="G62" i="2" s="1"/>
  <c r="E25" i="2"/>
  <c r="H24" i="2"/>
  <c r="H30" i="2" s="1"/>
  <c r="I15" i="2"/>
  <c r="F110" i="2"/>
  <c r="F125" i="2"/>
  <c r="C146" i="2" l="1"/>
  <c r="C143" i="2"/>
  <c r="F143" i="2" l="1"/>
  <c r="G143" i="2"/>
  <c r="G144" i="2" s="1"/>
  <c r="G146" i="2"/>
  <c r="G134" i="2"/>
  <c r="C126" i="2"/>
  <c r="C114" i="2"/>
  <c r="C111" i="2"/>
  <c r="F113" i="2"/>
  <c r="B125" i="2"/>
  <c r="B116" i="2"/>
  <c r="B113" i="2"/>
  <c r="B110" i="2"/>
  <c r="F129" i="2" l="1"/>
  <c r="F79" i="2" s="1"/>
  <c r="G87" i="2"/>
  <c r="G93" i="2" s="1"/>
  <c r="H111" i="2"/>
  <c r="G111" i="2"/>
  <c r="G114" i="2"/>
  <c r="G113" i="2" s="1"/>
  <c r="G126" i="2"/>
  <c r="G125" i="2" s="1"/>
  <c r="H126" i="2"/>
  <c r="H125" i="2" s="1"/>
  <c r="F54" i="2"/>
  <c r="F58" i="2" s="1"/>
  <c r="B76" i="2"/>
  <c r="B106" i="2" s="1"/>
  <c r="B133" i="2" s="1"/>
  <c r="B107" i="2"/>
  <c r="B108" i="2"/>
  <c r="G4" i="2"/>
  <c r="H4" i="2" s="1"/>
  <c r="G63" i="2" l="1"/>
  <c r="H63" i="2"/>
  <c r="H64" i="2" s="1"/>
  <c r="F107" i="2"/>
  <c r="F111" i="2" s="1"/>
  <c r="G107" i="2"/>
  <c r="G110" i="2" s="1"/>
  <c r="F108" i="2"/>
  <c r="E108" i="2"/>
  <c r="B141" i="2"/>
  <c r="E107" i="2"/>
  <c r="E111" i="2" s="1"/>
  <c r="F73" i="2"/>
  <c r="E120" i="2" l="1"/>
  <c r="E123" i="2"/>
  <c r="E126" i="2"/>
  <c r="E114" i="2"/>
  <c r="F123" i="2"/>
  <c r="F120" i="2"/>
  <c r="F126" i="2"/>
  <c r="F114" i="2"/>
  <c r="F25" i="2"/>
  <c r="G51" i="2"/>
  <c r="G84" i="2"/>
  <c r="E77" i="2" l="1"/>
  <c r="E81" i="2" s="1"/>
  <c r="E95" i="2" s="1"/>
  <c r="G137" i="2"/>
  <c r="G55" i="2" s="1"/>
  <c r="G56" i="2" s="1"/>
  <c r="H107" i="2"/>
  <c r="H110" i="2" s="1"/>
  <c r="F77" i="2"/>
  <c r="F81" i="2" s="1"/>
  <c r="F95" i="2" s="1"/>
  <c r="H83" i="2"/>
  <c r="H84" i="2" s="1"/>
  <c r="H134" i="2" l="1"/>
  <c r="G57" i="2"/>
  <c r="G116" i="2" s="1"/>
  <c r="G128" i="2" s="1"/>
  <c r="H51" i="2"/>
  <c r="G25" i="2"/>
  <c r="G64" i="2"/>
  <c r="H52" i="2" l="1"/>
  <c r="G77" i="2"/>
  <c r="H137" i="2"/>
  <c r="G52" i="2"/>
  <c r="H55" i="2" l="1"/>
  <c r="H56" i="2" l="1"/>
  <c r="H57" i="2" s="1"/>
  <c r="H116" i="2" s="1"/>
  <c r="H128" i="2" s="1"/>
  <c r="H129" i="2" s="1"/>
  <c r="H25" i="2"/>
  <c r="H23" i="2"/>
  <c r="H53" i="2" l="1"/>
  <c r="H77" i="2"/>
  <c r="G53" i="2" l="1"/>
  <c r="H79" i="2"/>
  <c r="H81" i="2" s="1"/>
  <c r="G129" i="2" l="1"/>
  <c r="G79" i="2" l="1"/>
  <c r="G81" i="2" s="1"/>
  <c r="G95" i="2" s="1"/>
  <c r="G98" i="2" s="1"/>
  <c r="G50" i="2" l="1"/>
  <c r="G99" i="2"/>
  <c r="G152" i="2" s="1"/>
  <c r="G154" i="2" s="1"/>
  <c r="G156" i="2" l="1"/>
  <c r="H97" i="2"/>
  <c r="H151" i="2" s="1"/>
  <c r="H153" i="2" s="1"/>
  <c r="G54" i="2"/>
  <c r="G58" i="2" s="1"/>
  <c r="G66" i="2" l="1"/>
  <c r="H142" i="2"/>
  <c r="H146" i="2" l="1"/>
  <c r="H143" i="2"/>
  <c r="G148" i="2" l="1"/>
  <c r="G149" i="2"/>
  <c r="G65" i="2" s="1"/>
  <c r="G68" i="2" s="1"/>
  <c r="H144" i="2"/>
  <c r="H149" i="2" s="1"/>
  <c r="H65" i="2" s="1"/>
  <c r="H87" i="2"/>
  <c r="H93" i="2" s="1"/>
  <c r="H95" i="2" s="1"/>
  <c r="G70" i="2" l="1"/>
  <c r="G71" i="2"/>
  <c r="H50" i="2"/>
  <c r="H54" i="2" s="1"/>
  <c r="H58" i="2" s="1"/>
  <c r="H98" i="2"/>
  <c r="H99" i="2" s="1"/>
  <c r="H66" i="2" l="1"/>
  <c r="H68" i="2" s="1"/>
  <c r="H71" i="2" s="1"/>
  <c r="H152" i="2"/>
  <c r="H154" i="2" s="1"/>
  <c r="H156" i="2" s="1"/>
  <c r="G72" i="2"/>
  <c r="G73" i="2" s="1"/>
  <c r="H70" i="2" l="1"/>
  <c r="H72" i="2"/>
  <c r="H73" i="2" s="1"/>
</calcChain>
</file>

<file path=xl/sharedStrings.xml><?xml version="1.0" encoding="utf-8"?>
<sst xmlns="http://schemas.openxmlformats.org/spreadsheetml/2006/main" count="135" uniqueCount="116">
  <si>
    <t>Sales</t>
  </si>
  <si>
    <t>Summary P&amp;L</t>
  </si>
  <si>
    <t>COGS</t>
  </si>
  <si>
    <t>D&amp;A</t>
  </si>
  <si>
    <t>Interest</t>
  </si>
  <si>
    <t>Tax</t>
  </si>
  <si>
    <t>CAGR</t>
  </si>
  <si>
    <t>P&amp;L</t>
  </si>
  <si>
    <t>Gross Profit</t>
  </si>
  <si>
    <t>Profit before Tax</t>
  </si>
  <si>
    <t>Net income</t>
  </si>
  <si>
    <t>Tax Rate</t>
  </si>
  <si>
    <t>Capex</t>
  </si>
  <si>
    <t>Balance Sheet</t>
  </si>
  <si>
    <t>Cash</t>
  </si>
  <si>
    <t>Receivables</t>
  </si>
  <si>
    <t xml:space="preserve">Inventory </t>
  </si>
  <si>
    <t>Short Term Assets</t>
  </si>
  <si>
    <t>PP&amp;E</t>
  </si>
  <si>
    <t>Total Assets</t>
  </si>
  <si>
    <t>Assets</t>
  </si>
  <si>
    <t>Liabilities</t>
  </si>
  <si>
    <t>Equity</t>
  </si>
  <si>
    <t>Check</t>
  </si>
  <si>
    <t>Cash flow statement</t>
  </si>
  <si>
    <t>net income</t>
  </si>
  <si>
    <t>non cash items</t>
  </si>
  <si>
    <t>Cash flow from operations</t>
  </si>
  <si>
    <t>investments</t>
  </si>
  <si>
    <t>Cash from investments</t>
  </si>
  <si>
    <t>Debt repaid</t>
  </si>
  <si>
    <t>Equity issued</t>
  </si>
  <si>
    <t>Cash flow from financing</t>
  </si>
  <si>
    <t>Dividends</t>
  </si>
  <si>
    <t>Debt issued</t>
  </si>
  <si>
    <t>Total cash flow</t>
  </si>
  <si>
    <t>BoP cash</t>
  </si>
  <si>
    <t>Change</t>
  </si>
  <si>
    <t>EoP cash</t>
  </si>
  <si>
    <t>Schedules</t>
  </si>
  <si>
    <t>Working Capital</t>
  </si>
  <si>
    <t>WORKING CAPITAL</t>
  </si>
  <si>
    <t>Receivables (DSO)</t>
  </si>
  <si>
    <t>Days of COGS</t>
  </si>
  <si>
    <t>Change in WC</t>
  </si>
  <si>
    <t>PP&amp;E SCHEDULE</t>
  </si>
  <si>
    <t>BoP PP&amp;E</t>
  </si>
  <si>
    <t>EoP PP&amp;E</t>
  </si>
  <si>
    <t>Debt Schedule</t>
  </si>
  <si>
    <t>BoP Debt</t>
  </si>
  <si>
    <t>EoP Debt</t>
  </si>
  <si>
    <t>Short term Portion</t>
  </si>
  <si>
    <t>Long Term Portion</t>
  </si>
  <si>
    <t>Debt</t>
  </si>
  <si>
    <t>Armortisation (years)</t>
  </si>
  <si>
    <t>Debt Repaid</t>
  </si>
  <si>
    <t>Total Interest</t>
  </si>
  <si>
    <t>Interest on Positive balance</t>
  </si>
  <si>
    <t>Interest on Overdraft</t>
  </si>
  <si>
    <t>Assumption</t>
  </si>
  <si>
    <t>EBTDA Margin</t>
  </si>
  <si>
    <t>DSO  (Days of sales)</t>
  </si>
  <si>
    <t>Days of cogs</t>
  </si>
  <si>
    <t>Inventory (Days of COGS)</t>
  </si>
  <si>
    <t>Cash BOP</t>
  </si>
  <si>
    <t>Cash EOP</t>
  </si>
  <si>
    <t>Interest (Cash)</t>
  </si>
  <si>
    <t>Interest (Revolver)</t>
  </si>
  <si>
    <t>Sales - Company Stores</t>
  </si>
  <si>
    <t>Franchise Royalties</t>
  </si>
  <si>
    <t>Support Sales</t>
  </si>
  <si>
    <t>Total Sales</t>
  </si>
  <si>
    <t>Total COGS</t>
  </si>
  <si>
    <t>Overall Gross Margin</t>
  </si>
  <si>
    <t>Margins per channel</t>
  </si>
  <si>
    <t>SG&amp;A</t>
  </si>
  <si>
    <t>SG&amp;A as % Sales</t>
  </si>
  <si>
    <t>Other ST Assets</t>
  </si>
  <si>
    <t>Accounts Payable</t>
  </si>
  <si>
    <t>Accrued Liabilities</t>
  </si>
  <si>
    <t>Other ST Liabilities</t>
  </si>
  <si>
    <t>Other Assets</t>
  </si>
  <si>
    <t>Other LT Liabilities</t>
  </si>
  <si>
    <t>Minority Interest</t>
  </si>
  <si>
    <t>Long Term Assets</t>
  </si>
  <si>
    <t>Total Current Liabilities</t>
  </si>
  <si>
    <t>Long Term Debt</t>
  </si>
  <si>
    <t>Total LT Liabilities</t>
  </si>
  <si>
    <t>Total Equity</t>
  </si>
  <si>
    <t>Franchise Expenses</t>
  </si>
  <si>
    <t>Other Expenses</t>
  </si>
  <si>
    <t>Interest (Income)</t>
  </si>
  <si>
    <t>JV Income (Loss)</t>
  </si>
  <si>
    <t>Number of store</t>
  </si>
  <si>
    <t>Building</t>
  </si>
  <si>
    <t>Furniture</t>
  </si>
  <si>
    <t># Hot Doughnut Machines</t>
  </si>
  <si>
    <t>Hot Doughnut Machines Cost</t>
  </si>
  <si>
    <t>C$ - M</t>
  </si>
  <si>
    <t>Other ST as % LT Assets</t>
  </si>
  <si>
    <t>CAPEX Requirements</t>
  </si>
  <si>
    <t>Other Assets as % PP&amp;E</t>
  </si>
  <si>
    <t>Other SE Liabilities (Days of COGS)</t>
  </si>
  <si>
    <t>Payables Days of Cogs</t>
  </si>
  <si>
    <t>Payables (Days of Cogs)</t>
  </si>
  <si>
    <t>% Current Liabilities</t>
  </si>
  <si>
    <t>Accrued as Days of Cogs</t>
  </si>
  <si>
    <t>Revolving</t>
  </si>
  <si>
    <t>Proceeds from stock Offering</t>
  </si>
  <si>
    <t>Other items</t>
  </si>
  <si>
    <t>(5 years)</t>
  </si>
  <si>
    <t>Other LT Liabilities as % Assets</t>
  </si>
  <si>
    <t>APPENDIX A - FORECASTING MODEL</t>
  </si>
  <si>
    <t>Total Liabilities and Equity</t>
  </si>
  <si>
    <t>new MFG plant</t>
  </si>
  <si>
    <t>New Distribution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</si>
</sst>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\A"/>
    <numFmt numFmtId="165" formatCode="0&quot;E&quot;"/>
    <numFmt numFmtId="166" formatCode="0.0"/>
    <numFmt numFmtId="167" formatCode="0.0;\(0.0\);\-"/>
    <numFmt numFmtId="168" formatCode="0.0%"/>
    <numFmt numFmtId="169" formatCode="#,##0\ ;\(#,##0\)\ ;\-"/>
    <numFmt numFmtId="170" formatCode="#,##0%\ ;\(#,##0%\)\ ;\-"/>
    <numFmt numFmtId="171" formatCode="#,##0.0%\ ;\(#,##0.0%\)\ ;\-"/>
    <numFmt numFmtId="172" formatCode="#,##0.0\ ;\(#,##0.0\)\ ;\-"/>
    <numFmt numFmtId="173" formatCode="0;\(0\);\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0"/>
      <name val="Franklin Gothic Demi"/>
      <family val="2"/>
    </font>
    <font>
      <b/>
      <sz val="12"/>
      <color theme="0"/>
      <name val="Franklin Gothic Demi"/>
      <family val="2"/>
    </font>
    <font>
      <sz val="11"/>
      <color rgb="FF0000CC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9.9795525986510827E-3"/>
        <bgColor indexed="64" tint="9.9795525986510827E-3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/>
      <diagonal/>
    </border>
    <border>
      <left/>
      <right style="thick">
        <color rgb="FFFF0000"/>
      </right>
      <top/>
      <bottom style="double">
        <color auto="1"/>
      </bottom>
      <diagonal/>
    </border>
    <border>
      <left/>
      <right style="thick">
        <color rgb="FFFF0000"/>
      </right>
      <top style="double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0" applyFont="1" applyFill="1" applyAlignment="1">
      <alignment horizontal="centerContinuous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7" fontId="3" fillId="0" borderId="0" xfId="0" applyNumberFormat="1" applyFont="1"/>
    <xf numFmtId="0" fontId="0" fillId="0" borderId="1" xfId="0" applyBorder="1"/>
    <xf numFmtId="0" fontId="3" fillId="0" borderId="2" xfId="0" applyFont="1" applyBorder="1"/>
    <xf numFmtId="166" fontId="3" fillId="0" borderId="0" xfId="0" applyNumberFormat="1" applyFont="1"/>
    <xf numFmtId="9" fontId="5" fillId="0" borderId="0" xfId="0" applyNumberFormat="1" applyFont="1"/>
    <xf numFmtId="0" fontId="6" fillId="0" borderId="0" xfId="0" applyFont="1"/>
    <xf numFmtId="0" fontId="0" fillId="0" borderId="3" xfId="0" applyBorder="1"/>
    <xf numFmtId="9" fontId="5" fillId="0" borderId="3" xfId="0" applyNumberFormat="1" applyFont="1" applyBorder="1"/>
    <xf numFmtId="0" fontId="8" fillId="0" borderId="1" xfId="0" applyFont="1" applyBorder="1"/>
    <xf numFmtId="168" fontId="5" fillId="0" borderId="0" xfId="1" applyNumberFormat="1" applyFont="1"/>
    <xf numFmtId="0" fontId="3" fillId="0" borderId="0" xfId="0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0" fontId="3" fillId="0" borderId="4" xfId="0" applyFont="1" applyBorder="1"/>
    <xf numFmtId="0" fontId="9" fillId="4" borderId="0" xfId="0" applyFont="1" applyFill="1" applyAlignment="1">
      <alignment horizontal="centerContinuous"/>
    </xf>
    <xf numFmtId="0" fontId="10" fillId="3" borderId="0" xfId="0" applyFont="1" applyFill="1" applyBorder="1" applyAlignment="1">
      <alignment horizontal="centerContinuous" vertical="center"/>
    </xf>
    <xf numFmtId="0" fontId="11" fillId="3" borderId="0" xfId="0" applyFont="1" applyFill="1" applyBorder="1" applyAlignment="1">
      <alignment horizontal="centerContinuous" vertical="center"/>
    </xf>
    <xf numFmtId="0" fontId="12" fillId="0" borderId="0" xfId="0" applyFont="1"/>
    <xf numFmtId="9" fontId="12" fillId="0" borderId="0" xfId="0" applyNumberFormat="1" applyFont="1"/>
    <xf numFmtId="0" fontId="5" fillId="0" borderId="0" xfId="0" applyFont="1"/>
    <xf numFmtId="0" fontId="7" fillId="0" borderId="0" xfId="0" applyFont="1"/>
    <xf numFmtId="170" fontId="5" fillId="0" borderId="1" xfId="0" applyNumberFormat="1" applyFont="1" applyBorder="1"/>
    <xf numFmtId="170" fontId="12" fillId="0" borderId="0" xfId="0" applyNumberFormat="1" applyFont="1"/>
    <xf numFmtId="9" fontId="0" fillId="0" borderId="0" xfId="0" applyNumberFormat="1"/>
    <xf numFmtId="171" fontId="5" fillId="0" borderId="0" xfId="0" applyNumberFormat="1" applyFont="1"/>
    <xf numFmtId="0" fontId="0" fillId="0" borderId="0" xfId="0" applyBorder="1"/>
    <xf numFmtId="0" fontId="8" fillId="0" borderId="0" xfId="0" applyFont="1" applyBorder="1"/>
    <xf numFmtId="9" fontId="14" fillId="0" borderId="0" xfId="0" applyNumberFormat="1" applyFont="1"/>
    <xf numFmtId="0" fontId="15" fillId="0" borderId="0" xfId="0" applyFont="1" applyBorder="1"/>
    <xf numFmtId="9" fontId="15" fillId="0" borderId="0" xfId="1" applyFont="1" applyBorder="1"/>
    <xf numFmtId="9" fontId="3" fillId="0" borderId="0" xfId="0" applyNumberFormat="1" applyFont="1"/>
    <xf numFmtId="9" fontId="3" fillId="0" borderId="0" xfId="1" applyFont="1"/>
    <xf numFmtId="3" fontId="0" fillId="0" borderId="0" xfId="0" applyNumberFormat="1" applyFont="1" applyBorder="1"/>
    <xf numFmtId="3" fontId="3" fillId="0" borderId="0" xfId="0" applyNumberFormat="1" applyFont="1" applyBorder="1"/>
    <xf numFmtId="171" fontId="15" fillId="0" borderId="0" xfId="0" applyNumberFormat="1" applyFont="1"/>
    <xf numFmtId="9" fontId="0" fillId="0" borderId="0" xfId="1" applyFont="1"/>
    <xf numFmtId="0" fontId="2" fillId="2" borderId="5" xfId="0" applyFont="1" applyFill="1" applyBorder="1" applyAlignment="1">
      <alignment horizontal="centerContinuous"/>
    </xf>
    <xf numFmtId="164" fontId="3" fillId="0" borderId="6" xfId="0" applyNumberFormat="1" applyFont="1" applyBorder="1"/>
    <xf numFmtId="164" fontId="3" fillId="0" borderId="5" xfId="0" applyNumberFormat="1" applyFont="1" applyBorder="1"/>
    <xf numFmtId="3" fontId="0" fillId="0" borderId="5" xfId="0" applyNumberFormat="1" applyFont="1" applyBorder="1"/>
    <xf numFmtId="3" fontId="3" fillId="0" borderId="5" xfId="0" applyNumberFormat="1" applyFont="1" applyBorder="1"/>
    <xf numFmtId="167" fontId="3" fillId="0" borderId="5" xfId="0" applyNumberFormat="1" applyFont="1" applyBorder="1"/>
    <xf numFmtId="9" fontId="0" fillId="0" borderId="5" xfId="1" applyFont="1" applyBorder="1"/>
    <xf numFmtId="9" fontId="15" fillId="0" borderId="5" xfId="1" applyFont="1" applyBorder="1"/>
    <xf numFmtId="0" fontId="0" fillId="0" borderId="5" xfId="0" applyBorder="1"/>
    <xf numFmtId="166" fontId="4" fillId="0" borderId="5" xfId="0" applyNumberFormat="1" applyFont="1" applyBorder="1"/>
    <xf numFmtId="166" fontId="0" fillId="0" borderId="6" xfId="0" applyNumberFormat="1" applyBorder="1"/>
    <xf numFmtId="166" fontId="8" fillId="0" borderId="5" xfId="0" applyNumberFormat="1" applyFont="1" applyBorder="1"/>
    <xf numFmtId="166" fontId="3" fillId="0" borderId="5" xfId="0" applyNumberFormat="1" applyFont="1" applyBorder="1"/>
    <xf numFmtId="166" fontId="0" fillId="0" borderId="5" xfId="0" applyNumberFormat="1" applyBorder="1"/>
    <xf numFmtId="166" fontId="3" fillId="0" borderId="7" xfId="0" applyNumberFormat="1" applyFont="1" applyBorder="1"/>
    <xf numFmtId="169" fontId="0" fillId="0" borderId="5" xfId="0" applyNumberFormat="1" applyBorder="1"/>
    <xf numFmtId="0" fontId="3" fillId="0" borderId="9" xfId="0" applyFont="1" applyBorder="1"/>
    <xf numFmtId="0" fontId="9" fillId="4" borderId="5" xfId="0" applyFont="1" applyFill="1" applyBorder="1" applyAlignment="1">
      <alignment horizontal="centerContinuous"/>
    </xf>
    <xf numFmtId="0" fontId="3" fillId="0" borderId="5" xfId="0" applyFont="1" applyBorder="1"/>
    <xf numFmtId="0" fontId="10" fillId="3" borderId="5" xfId="0" applyFont="1" applyFill="1" applyBorder="1" applyAlignment="1">
      <alignment horizontal="centerContinuous" vertical="center"/>
    </xf>
    <xf numFmtId="173" fontId="0" fillId="0" borderId="0" xfId="0" applyNumberFormat="1"/>
    <xf numFmtId="173" fontId="0" fillId="0" borderId="5" xfId="0" applyNumberFormat="1" applyBorder="1"/>
    <xf numFmtId="3" fontId="0" fillId="0" borderId="1" xfId="0" applyNumberFormat="1" applyFont="1" applyFill="1" applyBorder="1"/>
    <xf numFmtId="9" fontId="5" fillId="0" borderId="1" xfId="0" applyNumberFormat="1" applyFont="1" applyBorder="1"/>
    <xf numFmtId="9" fontId="0" fillId="0" borderId="1" xfId="1" applyFont="1" applyBorder="1"/>
    <xf numFmtId="0" fontId="15" fillId="0" borderId="0" xfId="0" applyFont="1"/>
    <xf numFmtId="0" fontId="0" fillId="0" borderId="0" xfId="0" applyFont="1"/>
    <xf numFmtId="3" fontId="6" fillId="0" borderId="0" xfId="0" applyNumberFormat="1" applyFont="1" applyBorder="1"/>
    <xf numFmtId="9" fontId="6" fillId="0" borderId="0" xfId="1" applyFont="1"/>
    <xf numFmtId="9" fontId="6" fillId="0" borderId="5" xfId="1" applyFont="1" applyBorder="1"/>
    <xf numFmtId="9" fontId="6" fillId="0" borderId="0" xfId="1" applyFont="1" applyBorder="1"/>
    <xf numFmtId="9" fontId="7" fillId="0" borderId="0" xfId="1" applyFont="1"/>
    <xf numFmtId="9" fontId="0" fillId="0" borderId="0" xfId="1" applyFont="1" applyBorder="1"/>
    <xf numFmtId="3" fontId="0" fillId="0" borderId="0" xfId="0" applyNumberFormat="1"/>
    <xf numFmtId="3" fontId="4" fillId="0" borderId="5" xfId="0" applyNumberFormat="1" applyFont="1" applyBorder="1"/>
    <xf numFmtId="166" fontId="8" fillId="0" borderId="0" xfId="0" applyNumberFormat="1" applyFont="1" applyBorder="1"/>
    <xf numFmtId="0" fontId="0" fillId="0" borderId="1" xfId="0" applyFont="1" applyBorder="1"/>
    <xf numFmtId="0" fontId="3" fillId="0" borderId="3" xfId="0" applyFont="1" applyBorder="1"/>
    <xf numFmtId="0" fontId="16" fillId="2" borderId="0" xfId="0" applyFont="1" applyFill="1" applyAlignment="1">
      <alignment horizontal="centerContinuous"/>
    </xf>
    <xf numFmtId="165" fontId="15" fillId="0" borderId="1" xfId="0" applyNumberFormat="1" applyFont="1" applyBorder="1"/>
    <xf numFmtId="165" fontId="15" fillId="0" borderId="0" xfId="0" applyNumberFormat="1" applyFont="1" applyBorder="1"/>
    <xf numFmtId="172" fontId="15" fillId="0" borderId="0" xfId="0" applyNumberFormat="1" applyFont="1"/>
    <xf numFmtId="3" fontId="0" fillId="0" borderId="0" xfId="0" applyNumberFormat="1" applyFont="1"/>
    <xf numFmtId="3" fontId="0" fillId="0" borderId="1" xfId="0" applyNumberFormat="1" applyBorder="1"/>
    <xf numFmtId="3" fontId="13" fillId="0" borderId="0" xfId="0" applyNumberFormat="1" applyFont="1"/>
    <xf numFmtId="3" fontId="0" fillId="0" borderId="1" xfId="0" applyNumberFormat="1" applyFont="1" applyBorder="1"/>
    <xf numFmtId="3" fontId="3" fillId="0" borderId="3" xfId="0" applyNumberFormat="1" applyFont="1" applyBorder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4" xfId="0" applyNumberFormat="1" applyFont="1" applyBorder="1"/>
    <xf numFmtId="3" fontId="0" fillId="0" borderId="5" xfId="0" applyNumberFormat="1" applyBorder="1"/>
    <xf numFmtId="3" fontId="0" fillId="0" borderId="0" xfId="0" applyNumberFormat="1" applyBorder="1"/>
    <xf numFmtId="9" fontId="14" fillId="0" borderId="0" xfId="0" applyNumberFormat="1" applyFont="1" applyBorder="1"/>
    <xf numFmtId="3" fontId="3" fillId="0" borderId="1" xfId="0" applyNumberFormat="1" applyFont="1" applyBorder="1"/>
    <xf numFmtId="3" fontId="3" fillId="0" borderId="6" xfId="0" applyNumberFormat="1" applyFont="1" applyBorder="1"/>
    <xf numFmtId="3" fontId="0" fillId="0" borderId="3" xfId="0" applyNumberFormat="1" applyFont="1" applyBorder="1"/>
    <xf numFmtId="3" fontId="0" fillId="0" borderId="6" xfId="0" applyNumberFormat="1" applyBorder="1"/>
    <xf numFmtId="3" fontId="6" fillId="0" borderId="0" xfId="0" applyNumberFormat="1" applyFont="1"/>
    <xf numFmtId="3" fontId="6" fillId="0" borderId="5" xfId="0" applyNumberFormat="1" applyFont="1" applyBorder="1"/>
    <xf numFmtId="9" fontId="12" fillId="0" borderId="0" xfId="1" applyFont="1"/>
    <xf numFmtId="3" fontId="3" fillId="0" borderId="7" xfId="0" applyNumberFormat="1" applyFont="1" applyBorder="1"/>
    <xf numFmtId="169" fontId="0" fillId="0" borderId="0" xfId="0" applyNumberFormat="1" applyBorder="1"/>
    <xf numFmtId="37" fontId="0" fillId="0" borderId="0" xfId="0" applyNumberFormat="1" applyBorder="1"/>
    <xf numFmtId="37" fontId="0" fillId="0" borderId="5" xfId="0" applyNumberFormat="1" applyBorder="1"/>
    <xf numFmtId="37" fontId="0" fillId="0" borderId="0" xfId="0" applyNumberFormat="1"/>
    <xf numFmtId="9" fontId="0" fillId="0" borderId="1" xfId="0" applyNumberFormat="1" applyFont="1" applyBorder="1"/>
    <xf numFmtId="2" fontId="6" fillId="0" borderId="0" xfId="0" applyNumberFormat="1" applyFont="1"/>
    <xf numFmtId="2" fontId="15" fillId="0" borderId="0" xfId="0" applyNumberFormat="1" applyFont="1"/>
    <xf numFmtId="1" fontId="6" fillId="0" borderId="0" xfId="1" applyNumberFormat="1" applyFont="1" applyBorder="1"/>
    <xf numFmtId="0" fontId="0" fillId="0" borderId="10" xfId="0" applyBorder="1"/>
    <xf numFmtId="3" fontId="0" fillId="0" borderId="11" xfId="0" applyNumberFormat="1" applyBorder="1"/>
    <xf numFmtId="3" fontId="0" fillId="0" borderId="10" xfId="0" applyNumberFormat="1" applyBorder="1"/>
    <xf numFmtId="9" fontId="0" fillId="0" borderId="6" xfId="1" applyFont="1" applyBorder="1"/>
    <xf numFmtId="3" fontId="0" fillId="0" borderId="8" xfId="0" applyNumberFormat="1" applyFont="1" applyBorder="1"/>
    <xf numFmtId="166" fontId="0" fillId="0" borderId="6" xfId="0" applyNumberFormat="1" applyFont="1" applyBorder="1"/>
    <xf numFmtId="0" fontId="3" fillId="0" borderId="8" xfId="0" applyFont="1" applyBorder="1"/>
    <xf numFmtId="1" fontId="6" fillId="0" borderId="5" xfId="1" applyNumberFormat="1" applyFont="1" applyBorder="1"/>
    <xf numFmtId="0" fontId="9" fillId="0" borderId="0" xfId="0" applyFont="1" applyFill="1" applyBorder="1"/>
    <xf numFmtId="3" fontId="9" fillId="0" borderId="0" xfId="0" applyNumberFormat="1" applyFont="1" applyFill="1" applyBorder="1"/>
    <xf numFmtId="3" fontId="9" fillId="0" borderId="5" xfId="0" applyNumberFormat="1" applyFont="1" applyFill="1" applyBorder="1"/>
  </cellXfs>
  <cellStyles count="2">
    <cellStyle name="Normal" xfId="0" builtinId="0"/>
    <cellStyle name="Percent" xfId="1" builtinId="5"/>
  </cellStyles>
  <dxfs count="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anaccord">
      <a:dk1>
        <a:srgbClr val="3F3F3F"/>
      </a:dk1>
      <a:lt1>
        <a:srgbClr val="FFFFFF"/>
      </a:lt1>
      <a:dk2>
        <a:srgbClr val="ECEDEE"/>
      </a:dk2>
      <a:lt2>
        <a:srgbClr val="8EAC2A"/>
      </a:lt2>
      <a:accent1>
        <a:srgbClr val="003366"/>
      </a:accent1>
      <a:accent2>
        <a:srgbClr val="91A2B9"/>
      </a:accent2>
      <a:accent3>
        <a:srgbClr val="615F5E"/>
      </a:accent3>
      <a:accent4>
        <a:srgbClr val="CDE1EA"/>
      </a:accent4>
      <a:accent5>
        <a:srgbClr val="B0A3BF"/>
      </a:accent5>
      <a:accent6>
        <a:srgbClr val="055093"/>
      </a:accent6>
      <a:hlink>
        <a:srgbClr val="D1E4EB"/>
      </a:hlink>
      <a:folHlink>
        <a:srgbClr val="0055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E18"/>
  <sheetViews>
    <sheetView zoomScale="130" zoomScaleNormal="130" workbookViewId="0">
      <selection activeCell="D19" sqref="D19"/>
    </sheetView>
  </sheetViews>
  <sheetFormatPr defaultColWidth="9.140625" defaultRowHeight="15"/>
  <cols>
    <col min="1" max="1" width="16.85546875" customWidth="1"/>
    <col min="2" max="2" width="31.85546875" bestFit="1" customWidth="1"/>
  </cols>
  <sheetData>
    <row r="2" spans="2:5" ht="24.95" customHeight="1">
      <c r="B2" s="22" t="s">
        <v>7</v>
      </c>
      <c r="C2" s="21"/>
      <c r="D2" s="21"/>
    </row>
    <row r="3" spans="2:5">
      <c r="B3" t="s">
        <v>11</v>
      </c>
      <c r="D3" s="24">
        <v>0.38</v>
      </c>
    </row>
    <row r="4" spans="2:5" ht="24.95" customHeight="1">
      <c r="B4" s="22" t="s">
        <v>41</v>
      </c>
      <c r="C4" s="21"/>
      <c r="D4" s="21"/>
      <c r="E4">
        <v>2002</v>
      </c>
    </row>
    <row r="5" spans="2:5">
      <c r="B5" t="s">
        <v>42</v>
      </c>
      <c r="D5" s="23">
        <v>36</v>
      </c>
    </row>
    <row r="6" spans="2:5">
      <c r="B6" t="s">
        <v>63</v>
      </c>
      <c r="D6" s="23">
        <v>20</v>
      </c>
      <c r="E6">
        <v>21</v>
      </c>
    </row>
    <row r="7" spans="2:5">
      <c r="B7" t="s">
        <v>102</v>
      </c>
      <c r="D7" s="23">
        <v>5</v>
      </c>
    </row>
    <row r="8" spans="2:5">
      <c r="B8" t="s">
        <v>104</v>
      </c>
      <c r="D8" s="23">
        <v>27</v>
      </c>
      <c r="E8">
        <v>30</v>
      </c>
    </row>
    <row r="9" spans="2:5">
      <c r="B9" t="s">
        <v>99</v>
      </c>
      <c r="D9" s="101">
        <v>0.06</v>
      </c>
    </row>
    <row r="10" spans="2:5">
      <c r="B10" t="s">
        <v>106</v>
      </c>
      <c r="D10" s="23">
        <v>33</v>
      </c>
      <c r="E10">
        <v>35</v>
      </c>
    </row>
    <row r="11" spans="2:5" ht="17.25">
      <c r="B11" s="22" t="s">
        <v>53</v>
      </c>
      <c r="C11" s="21"/>
      <c r="D11" s="21"/>
    </row>
    <row r="12" spans="2:5">
      <c r="B12" t="s">
        <v>54</v>
      </c>
      <c r="D12" s="24">
        <v>0.2</v>
      </c>
      <c r="E12" t="s">
        <v>110</v>
      </c>
    </row>
    <row r="13" spans="2:5">
      <c r="B13" t="s">
        <v>4</v>
      </c>
      <c r="D13" s="28">
        <v>0.04</v>
      </c>
    </row>
    <row r="14" spans="2:5">
      <c r="B14" t="s">
        <v>57</v>
      </c>
      <c r="D14" s="24">
        <v>0.01</v>
      </c>
    </row>
    <row r="15" spans="2:5">
      <c r="B15" t="s">
        <v>58</v>
      </c>
      <c r="D15" s="24">
        <v>0.05</v>
      </c>
    </row>
    <row r="16" spans="2:5" ht="17.25">
      <c r="B16" s="22" t="s">
        <v>13</v>
      </c>
      <c r="C16" s="21"/>
      <c r="D16" s="21"/>
    </row>
    <row r="17" spans="2:4">
      <c r="B17" t="s">
        <v>101</v>
      </c>
      <c r="D17" s="24">
        <v>0.35</v>
      </c>
    </row>
    <row r="18" spans="2:4">
      <c r="B18" t="s">
        <v>111</v>
      </c>
      <c r="D18" s="24">
        <v>3.5000000000000003E-2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185"/>
  <sheetViews>
    <sheetView tabSelected="1" showWhiteSpace="0" topLeftCell="A121" zoomScaleNormal="100" workbookViewId="0">
      <selection activeCell="G137" sqref="G137"/>
    </sheetView>
  </sheetViews>
  <sheetFormatPr defaultColWidth="9.140625" defaultRowHeight="15"/>
  <cols>
    <col min="2" max="2" width="29.140625" customWidth="1"/>
    <col min="5" max="5" width="9.5703125" bestFit="1" customWidth="1"/>
    <col min="6" max="6" width="9.5703125" style="50" bestFit="1" customWidth="1"/>
    <col min="7" max="7" width="10" customWidth="1"/>
    <col min="8" max="8" width="10.7109375" customWidth="1"/>
    <col min="9" max="9" width="9.140625" style="67"/>
  </cols>
  <sheetData>
    <row r="1" spans="1:9">
      <c r="B1" s="2" t="s">
        <v>112</v>
      </c>
      <c r="F1" s="31"/>
    </row>
    <row r="2" spans="1:9">
      <c r="F2" s="31"/>
    </row>
    <row r="3" spans="1:9">
      <c r="B3" s="1" t="s">
        <v>1</v>
      </c>
      <c r="C3" s="1"/>
      <c r="D3" s="1"/>
      <c r="E3" s="1"/>
      <c r="F3" s="42"/>
      <c r="G3" s="1"/>
      <c r="H3" s="1"/>
      <c r="I3" s="80"/>
    </row>
    <row r="4" spans="1:9">
      <c r="B4" s="14" t="s">
        <v>98</v>
      </c>
      <c r="C4" s="3" t="s">
        <v>59</v>
      </c>
      <c r="D4" s="3"/>
      <c r="E4" s="4">
        <v>2001</v>
      </c>
      <c r="F4" s="43">
        <v>2002</v>
      </c>
      <c r="G4" s="5">
        <f t="shared" ref="G4:H4" si="0">+F4+1</f>
        <v>2003</v>
      </c>
      <c r="H4" s="5">
        <f t="shared" si="0"/>
        <v>2004</v>
      </c>
      <c r="I4" s="81" t="s">
        <v>6</v>
      </c>
    </row>
    <row r="5" spans="1:9">
      <c r="B5" s="32" t="s">
        <v>0</v>
      </c>
      <c r="C5" s="16"/>
      <c r="D5" s="16"/>
      <c r="E5" s="17"/>
      <c r="F5" s="44"/>
      <c r="G5" s="18"/>
      <c r="H5" s="18"/>
      <c r="I5" s="82"/>
    </row>
    <row r="6" spans="1:9">
      <c r="A6" s="38"/>
      <c r="B6" s="38" t="s">
        <v>68</v>
      </c>
      <c r="C6" s="38"/>
      <c r="D6" s="38"/>
      <c r="E6" s="38">
        <v>213677</v>
      </c>
      <c r="F6" s="45">
        <v>266209</v>
      </c>
      <c r="G6" s="38">
        <v>303206</v>
      </c>
      <c r="H6" s="38">
        <v>334624</v>
      </c>
      <c r="I6" s="72">
        <f>+(H6/F6)^(1/3)-1</f>
        <v>7.9223642338841938E-2</v>
      </c>
    </row>
    <row r="7" spans="1:9">
      <c r="A7" s="38"/>
      <c r="B7" s="38" t="s">
        <v>69</v>
      </c>
      <c r="C7" s="38"/>
      <c r="D7" s="38"/>
      <c r="E7" s="38">
        <v>9445</v>
      </c>
      <c r="F7" s="45">
        <v>14963</v>
      </c>
      <c r="G7" s="38">
        <v>22615</v>
      </c>
      <c r="H7" s="38">
        <v>32128</v>
      </c>
      <c r="I7" s="72">
        <f t="shared" ref="I7:I9" si="1">+(H7/F7)^(1/3)-1</f>
        <v>0.29009493964476007</v>
      </c>
    </row>
    <row r="8" spans="1:9">
      <c r="A8" s="38"/>
      <c r="B8" s="38" t="s">
        <v>70</v>
      </c>
      <c r="C8" s="38"/>
      <c r="D8" s="38"/>
      <c r="E8" s="38">
        <v>77516</v>
      </c>
      <c r="F8" s="45">
        <v>114137</v>
      </c>
      <c r="G8" s="38">
        <v>169507</v>
      </c>
      <c r="H8" s="38">
        <v>239445</v>
      </c>
      <c r="I8" s="72">
        <f t="shared" si="1"/>
        <v>0.28014679469448822</v>
      </c>
    </row>
    <row r="9" spans="1:9" s="2" customFormat="1">
      <c r="B9" s="2" t="s">
        <v>71</v>
      </c>
      <c r="C9" s="33"/>
      <c r="E9" s="39">
        <f>SUM(E6:E8)</f>
        <v>300638</v>
      </c>
      <c r="F9" s="46">
        <f>SUM(F6:F8)</f>
        <v>395309</v>
      </c>
      <c r="G9" s="89">
        <f t="shared" ref="G9:H9" si="2">SUM(G6:G8)</f>
        <v>495328</v>
      </c>
      <c r="H9" s="89">
        <f t="shared" si="2"/>
        <v>606197</v>
      </c>
      <c r="I9" s="72">
        <f t="shared" si="1"/>
        <v>0.15316741019880364</v>
      </c>
    </row>
    <row r="10" spans="1:9" s="2" customFormat="1">
      <c r="B10" s="2" t="s">
        <v>2</v>
      </c>
      <c r="C10" s="33"/>
      <c r="E10" s="39"/>
      <c r="F10" s="46"/>
      <c r="G10" s="89"/>
      <c r="H10" s="89"/>
      <c r="I10" s="40"/>
    </row>
    <row r="11" spans="1:9" s="2" customFormat="1">
      <c r="B11" s="38" t="s">
        <v>68</v>
      </c>
      <c r="C11" s="33"/>
      <c r="E11" s="38">
        <v>181469</v>
      </c>
      <c r="F11" s="45">
        <v>217418</v>
      </c>
      <c r="G11" s="89">
        <v>245065</v>
      </c>
      <c r="H11" s="89">
        <v>270026</v>
      </c>
      <c r="I11" s="72">
        <f t="shared" ref="I11:I15" si="3">+(H11/F11)^(1/3)-1</f>
        <v>7.4904865983008939E-2</v>
      </c>
    </row>
    <row r="12" spans="1:9" s="2" customFormat="1">
      <c r="B12" s="38" t="s">
        <v>89</v>
      </c>
      <c r="C12" s="33"/>
      <c r="E12" s="38">
        <v>3643</v>
      </c>
      <c r="F12" s="45">
        <v>4896</v>
      </c>
      <c r="G12" s="89">
        <v>6771</v>
      </c>
      <c r="H12" s="89">
        <v>9780</v>
      </c>
      <c r="I12" s="72">
        <f t="shared" si="3"/>
        <v>0.25940616587762766</v>
      </c>
    </row>
    <row r="13" spans="1:9" s="2" customFormat="1">
      <c r="B13" s="38" t="s">
        <v>70</v>
      </c>
      <c r="C13" s="94"/>
      <c r="D13" s="16"/>
      <c r="E13" s="38">
        <v>65512</v>
      </c>
      <c r="F13" s="45">
        <v>94631</v>
      </c>
      <c r="G13" s="39">
        <v>138413</v>
      </c>
      <c r="H13" s="39">
        <v>194058</v>
      </c>
      <c r="I13" s="72">
        <f t="shared" si="3"/>
        <v>0.27047475718654157</v>
      </c>
    </row>
    <row r="14" spans="1:9" s="2" customFormat="1">
      <c r="B14" s="3" t="s">
        <v>72</v>
      </c>
      <c r="C14" s="3"/>
      <c r="D14" s="3"/>
      <c r="E14" s="95">
        <f>SUM(E11:E13)</f>
        <v>250624</v>
      </c>
      <c r="F14" s="96">
        <f>SUM(F11:F13)</f>
        <v>316945</v>
      </c>
      <c r="G14" s="95">
        <f>SUM(G11:G13)</f>
        <v>390249</v>
      </c>
      <c r="H14" s="95">
        <f>SUM(H11:H13)</f>
        <v>473864</v>
      </c>
      <c r="I14" s="72">
        <f t="shared" si="3"/>
        <v>0.1434660385564388</v>
      </c>
    </row>
    <row r="15" spans="1:9">
      <c r="B15" s="2" t="s">
        <v>8</v>
      </c>
      <c r="E15" s="39">
        <f>E9-E14</f>
        <v>50014</v>
      </c>
      <c r="F15" s="46">
        <f>F9-F14</f>
        <v>78364</v>
      </c>
      <c r="G15" s="39">
        <f>G9-G14</f>
        <v>105079</v>
      </c>
      <c r="H15" s="39">
        <f>H9-H14</f>
        <v>132333</v>
      </c>
      <c r="I15" s="72">
        <f t="shared" si="3"/>
        <v>0.19083206646084805</v>
      </c>
    </row>
    <row r="16" spans="1:9">
      <c r="B16" s="67" t="s">
        <v>74</v>
      </c>
      <c r="E16" s="6"/>
      <c r="F16" s="47"/>
      <c r="G16" s="89"/>
      <c r="H16" s="89"/>
      <c r="I16" s="40"/>
    </row>
    <row r="17" spans="2:9">
      <c r="B17" s="72" t="s">
        <v>68</v>
      </c>
      <c r="C17" s="70"/>
      <c r="D17" s="70"/>
      <c r="E17" s="70">
        <f>1-E11/E6</f>
        <v>0.15073217987897625</v>
      </c>
      <c r="F17" s="71">
        <v>0.15073217987897625</v>
      </c>
      <c r="G17" s="70">
        <f t="shared" ref="G17:H20" si="4">1-G11/G6</f>
        <v>0.19175412096066702</v>
      </c>
      <c r="H17" s="70">
        <f t="shared" si="4"/>
        <v>0.19304652385961552</v>
      </c>
      <c r="I17" s="40"/>
    </row>
    <row r="18" spans="2:9">
      <c r="B18" s="72" t="s">
        <v>69</v>
      </c>
      <c r="C18" s="70"/>
      <c r="D18" s="70"/>
      <c r="E18" s="70">
        <f>1-E12/E7</f>
        <v>0.61429327686606672</v>
      </c>
      <c r="F18" s="71">
        <f>1-F12/F7</f>
        <v>0.67279288912651203</v>
      </c>
      <c r="G18" s="70">
        <f t="shared" si="4"/>
        <v>0.70059694892770286</v>
      </c>
      <c r="H18" s="70">
        <f t="shared" si="4"/>
        <v>0.69559262948207179</v>
      </c>
      <c r="I18" s="40"/>
    </row>
    <row r="19" spans="2:9">
      <c r="B19" s="72" t="s">
        <v>70</v>
      </c>
      <c r="C19" s="70"/>
      <c r="D19" s="70"/>
      <c r="E19" s="70">
        <f>1-E13/E8</f>
        <v>0.15485835182413954</v>
      </c>
      <c r="F19" s="71">
        <f>1-F13/F8</f>
        <v>0.17089988347336971</v>
      </c>
      <c r="G19" s="70">
        <f t="shared" si="4"/>
        <v>0.18343785212410102</v>
      </c>
      <c r="H19" s="70">
        <f t="shared" si="4"/>
        <v>0.18955083630896452</v>
      </c>
      <c r="I19" s="40"/>
    </row>
    <row r="20" spans="2:9">
      <c r="B20" s="70" t="s">
        <v>73</v>
      </c>
      <c r="C20" s="73"/>
      <c r="D20" s="70"/>
      <c r="E20" s="70">
        <f>1-E14/E9</f>
        <v>0.16635954204059367</v>
      </c>
      <c r="F20" s="71">
        <f>1-F14/F9</f>
        <v>0.19823479860058835</v>
      </c>
      <c r="G20" s="70">
        <f t="shared" si="4"/>
        <v>0.21214023838749274</v>
      </c>
      <c r="H20" s="70">
        <f t="shared" si="4"/>
        <v>0.21830032151264356</v>
      </c>
      <c r="I20" s="40"/>
    </row>
    <row r="21" spans="2:9">
      <c r="B21" s="37" t="s">
        <v>90</v>
      </c>
      <c r="C21" s="73"/>
      <c r="D21" s="70"/>
      <c r="E21" s="70"/>
      <c r="F21" s="71"/>
      <c r="G21" s="70"/>
      <c r="H21" s="70"/>
      <c r="I21" s="40"/>
    </row>
    <row r="22" spans="2:9">
      <c r="B22" t="s">
        <v>75</v>
      </c>
      <c r="C22" s="10"/>
      <c r="E22" s="62">
        <v>20061</v>
      </c>
      <c r="F22" s="63">
        <v>27562</v>
      </c>
      <c r="G22" s="75">
        <v>33959</v>
      </c>
      <c r="H22" s="75">
        <v>40918</v>
      </c>
      <c r="I22" s="72">
        <f>+(H22/F22)^(1/3)-1</f>
        <v>0.14077822596620448</v>
      </c>
    </row>
    <row r="23" spans="2:9">
      <c r="B23" s="64" t="s">
        <v>76</v>
      </c>
      <c r="C23" s="65"/>
      <c r="D23" s="7"/>
      <c r="E23" s="66">
        <f>E22/E9</f>
        <v>6.6728091591881269E-2</v>
      </c>
      <c r="F23" s="114">
        <f>F22/F9</f>
        <v>6.972267264342577E-2</v>
      </c>
      <c r="G23" s="66">
        <f>G22/G9</f>
        <v>6.8558611667420374E-2</v>
      </c>
      <c r="H23" s="66">
        <f>H22/H9</f>
        <v>6.7499509235446564E-2</v>
      </c>
      <c r="I23" s="40"/>
    </row>
    <row r="24" spans="2:9">
      <c r="B24" s="8"/>
      <c r="C24" s="8"/>
      <c r="D24" s="8"/>
      <c r="E24" s="39">
        <f>E15-E22</f>
        <v>29953</v>
      </c>
      <c r="F24" s="46">
        <f>F15-F22</f>
        <v>50802</v>
      </c>
      <c r="G24" s="39">
        <f>G15-G22</f>
        <v>71120</v>
      </c>
      <c r="H24" s="39">
        <f>H15-H22</f>
        <v>91415</v>
      </c>
      <c r="I24" s="40"/>
    </row>
    <row r="25" spans="2:9" s="11" customFormat="1">
      <c r="B25" s="34" t="s">
        <v>60</v>
      </c>
      <c r="C25" s="34"/>
      <c r="D25" s="34"/>
      <c r="E25" s="35">
        <f>E24/E9</f>
        <v>9.9631450448712411E-2</v>
      </c>
      <c r="F25" s="49">
        <f>F24/F9</f>
        <v>0.12851212595716263</v>
      </c>
      <c r="G25" s="35">
        <f>G24/G9</f>
        <v>0.14358162672007235</v>
      </c>
      <c r="H25" s="35">
        <f>H24/H9</f>
        <v>0.15080081227719702</v>
      </c>
      <c r="I25" s="40"/>
    </row>
    <row r="26" spans="2:9">
      <c r="B26" t="s">
        <v>3</v>
      </c>
      <c r="E26">
        <v>-6458</v>
      </c>
      <c r="F26" s="50">
        <v>-7959</v>
      </c>
      <c r="G26" s="75">
        <v>-10121</v>
      </c>
      <c r="H26" s="75">
        <v>-12081</v>
      </c>
      <c r="I26" s="72">
        <f>+(H26/F26)^(1/3)-1</f>
        <v>0.14925074302910013</v>
      </c>
    </row>
    <row r="27" spans="2:9" s="31" customFormat="1">
      <c r="B27" s="31" t="s">
        <v>91</v>
      </c>
      <c r="E27" s="31">
        <v>-1698</v>
      </c>
      <c r="F27" s="50">
        <v>-2408</v>
      </c>
      <c r="G27" s="93">
        <v>-1395</v>
      </c>
      <c r="H27" s="93">
        <v>-1400</v>
      </c>
      <c r="I27" s="34"/>
    </row>
    <row r="28" spans="2:9" s="31" customFormat="1">
      <c r="B28" s="31" t="s">
        <v>92</v>
      </c>
      <c r="E28" s="31">
        <v>-600</v>
      </c>
      <c r="F28" s="50">
        <v>-602</v>
      </c>
      <c r="G28" s="93">
        <v>-198</v>
      </c>
      <c r="H28" s="93">
        <v>450</v>
      </c>
      <c r="I28" s="34"/>
    </row>
    <row r="29" spans="2:9" s="31" customFormat="1">
      <c r="B29" s="31" t="s">
        <v>83</v>
      </c>
      <c r="E29" s="31">
        <v>-717</v>
      </c>
      <c r="F29" s="50">
        <v>-1147</v>
      </c>
      <c r="G29" s="93">
        <v>-1183</v>
      </c>
      <c r="H29" s="93">
        <v>-850</v>
      </c>
      <c r="I29" s="34"/>
    </row>
    <row r="30" spans="2:9">
      <c r="B30" s="31" t="s">
        <v>9</v>
      </c>
      <c r="C30" s="31"/>
      <c r="D30" s="31"/>
      <c r="E30" s="38">
        <f>+E24+E26-E27+E29</f>
        <v>24476</v>
      </c>
      <c r="F30" s="45">
        <f>+F24+F26-F27+F29</f>
        <v>44104</v>
      </c>
      <c r="G30" s="38">
        <f>+G24+G26-G27+G29</f>
        <v>61211</v>
      </c>
      <c r="H30" s="38">
        <f>+H24+H26-H27+H29</f>
        <v>79884</v>
      </c>
      <c r="I30" s="40"/>
    </row>
    <row r="31" spans="2:9" ht="15.75" thickBot="1">
      <c r="B31" s="12" t="s">
        <v>5</v>
      </c>
      <c r="C31" s="13"/>
      <c r="D31" s="12"/>
      <c r="E31" s="97">
        <v>-9058</v>
      </c>
      <c r="F31" s="115">
        <v>-16168</v>
      </c>
      <c r="G31" s="97">
        <v>-22991</v>
      </c>
      <c r="H31" s="97">
        <v>-30527</v>
      </c>
      <c r="I31" s="72">
        <f>+(H31/F31)^(1/3)-1</f>
        <v>0.23597383032879526</v>
      </c>
    </row>
    <row r="32" spans="2:9" ht="15.75" thickTop="1">
      <c r="B32" s="2" t="s">
        <v>10</v>
      </c>
      <c r="C32" s="2"/>
      <c r="D32" s="2"/>
      <c r="E32" s="39">
        <v>14713</v>
      </c>
      <c r="F32" s="46">
        <v>26378</v>
      </c>
      <c r="G32" s="39">
        <v>37512</v>
      </c>
      <c r="H32" s="39">
        <v>49807</v>
      </c>
      <c r="I32" s="72">
        <f>+(H32/F32)^(1/3)-1</f>
        <v>0.23599346153257827</v>
      </c>
    </row>
    <row r="33" spans="2:9">
      <c r="F33" s="31"/>
    </row>
    <row r="34" spans="2:9">
      <c r="F34" s="31"/>
    </row>
    <row r="35" spans="2:9">
      <c r="B35" s="1" t="s">
        <v>100</v>
      </c>
      <c r="C35" s="1"/>
      <c r="D35" s="1"/>
      <c r="E35" s="1"/>
      <c r="F35" s="42"/>
      <c r="G35" s="1"/>
      <c r="H35" s="1"/>
      <c r="I35" s="80"/>
    </row>
    <row r="36" spans="2:9">
      <c r="B36" s="14" t="s">
        <v>98</v>
      </c>
      <c r="C36" s="3" t="s">
        <v>59</v>
      </c>
      <c r="D36" s="3"/>
      <c r="E36" s="4">
        <v>2001</v>
      </c>
      <c r="F36" s="43">
        <v>2002</v>
      </c>
      <c r="G36" s="5">
        <f t="shared" ref="G36" si="5">+F36+1</f>
        <v>2003</v>
      </c>
      <c r="H36" s="5">
        <f t="shared" ref="H36" si="6">+G36+1</f>
        <v>2004</v>
      </c>
      <c r="I36" s="81"/>
    </row>
    <row r="37" spans="2:9">
      <c r="B37" t="s">
        <v>93</v>
      </c>
      <c r="G37">
        <v>62</v>
      </c>
      <c r="H37">
        <v>100</v>
      </c>
    </row>
    <row r="38" spans="2:9">
      <c r="B38" t="s">
        <v>115</v>
      </c>
      <c r="G38">
        <v>5000</v>
      </c>
    </row>
    <row r="39" spans="2:9">
      <c r="B39" t="s">
        <v>114</v>
      </c>
      <c r="G39">
        <v>40000</v>
      </c>
    </row>
    <row r="40" spans="2:9">
      <c r="B40" t="s">
        <v>94</v>
      </c>
      <c r="C40">
        <v>800</v>
      </c>
      <c r="G40" s="75">
        <f>G$37*C40</f>
        <v>49600</v>
      </c>
      <c r="H40" s="75">
        <f>H37*C40</f>
        <v>80000</v>
      </c>
    </row>
    <row r="41" spans="2:9">
      <c r="B41" t="s">
        <v>95</v>
      </c>
      <c r="C41">
        <v>625</v>
      </c>
      <c r="G41" s="75">
        <f>G$37*C41</f>
        <v>38750</v>
      </c>
      <c r="H41" s="75">
        <f>H37*C41</f>
        <v>62500</v>
      </c>
    </row>
    <row r="42" spans="2:9">
      <c r="B42" t="s">
        <v>96</v>
      </c>
      <c r="G42">
        <v>10</v>
      </c>
      <c r="H42">
        <v>12</v>
      </c>
    </row>
    <row r="43" spans="2:9">
      <c r="B43" t="s">
        <v>97</v>
      </c>
      <c r="C43">
        <v>2</v>
      </c>
      <c r="G43" s="75">
        <f>G42*C43</f>
        <v>20</v>
      </c>
      <c r="H43" s="75">
        <f>H42*C43</f>
        <v>24</v>
      </c>
    </row>
    <row r="44" spans="2:9">
      <c r="B44" t="s">
        <v>12</v>
      </c>
      <c r="E44" s="104">
        <f>E135</f>
        <v>24214</v>
      </c>
      <c r="F44" s="105">
        <f>F135</f>
        <v>42196</v>
      </c>
      <c r="G44" s="106">
        <f>G40+G41+G43+G39+G38</f>
        <v>133370</v>
      </c>
      <c r="H44" s="106">
        <f>H40+H41+H43+H39+H38</f>
        <v>142524</v>
      </c>
      <c r="I44" s="40"/>
    </row>
    <row r="46" spans="2:9">
      <c r="F46" s="31"/>
    </row>
    <row r="47" spans="2:9">
      <c r="B47" s="1" t="s">
        <v>13</v>
      </c>
      <c r="C47" s="1"/>
      <c r="D47" s="1"/>
      <c r="E47" s="1"/>
      <c r="F47" s="42"/>
      <c r="G47" s="1"/>
      <c r="H47" s="1"/>
    </row>
    <row r="48" spans="2:9">
      <c r="B48" s="14" t="s">
        <v>98</v>
      </c>
      <c r="C48" s="3"/>
      <c r="D48" s="3"/>
      <c r="E48" s="4">
        <v>2001</v>
      </c>
      <c r="F48" s="43">
        <v>2002</v>
      </c>
      <c r="G48" s="5">
        <f t="shared" ref="G48" si="7">+F48+1</f>
        <v>2003</v>
      </c>
      <c r="H48" s="5">
        <f t="shared" ref="H48" si="8">+G48+1</f>
        <v>2004</v>
      </c>
    </row>
    <row r="49" spans="2:10">
      <c r="B49" s="16" t="s">
        <v>20</v>
      </c>
      <c r="C49" s="16"/>
      <c r="D49" s="16"/>
      <c r="E49" s="17"/>
      <c r="F49" s="44"/>
      <c r="G49" s="18"/>
      <c r="H49" s="18"/>
    </row>
    <row r="50" spans="2:10">
      <c r="B50" t="s">
        <v>14</v>
      </c>
      <c r="E50" s="75">
        <v>25129</v>
      </c>
      <c r="F50" s="76">
        <v>37196</v>
      </c>
      <c r="G50" s="75">
        <f>F50+G95</f>
        <v>44.684082191764901</v>
      </c>
      <c r="H50" s="75">
        <f t="shared" ref="H50" si="9">G50+H95</f>
        <v>-73966.217027397273</v>
      </c>
    </row>
    <row r="51" spans="2:10">
      <c r="B51" t="s">
        <v>15</v>
      </c>
      <c r="C51" s="15"/>
      <c r="E51" s="75">
        <v>24733</v>
      </c>
      <c r="F51" s="51">
        <v>38682</v>
      </c>
      <c r="G51" s="84">
        <f>G110</f>
        <v>48854.268493150681</v>
      </c>
      <c r="H51" s="84">
        <f t="shared" ref="H51" si="10">H110</f>
        <v>59789.293150684927</v>
      </c>
    </row>
    <row r="52" spans="2:10">
      <c r="B52" t="s">
        <v>16</v>
      </c>
      <c r="E52" s="75">
        <v>12031</v>
      </c>
      <c r="F52" s="51">
        <v>16159</v>
      </c>
      <c r="G52" s="75">
        <f>G113</f>
        <v>21383.506849315068</v>
      </c>
      <c r="H52" s="75">
        <f t="shared" ref="H52" si="11">H113</f>
        <v>27263.40821917808</v>
      </c>
    </row>
    <row r="53" spans="2:10">
      <c r="B53" s="7" t="s">
        <v>77</v>
      </c>
      <c r="C53" s="7"/>
      <c r="D53" s="7"/>
      <c r="E53" s="7">
        <v>5718</v>
      </c>
      <c r="F53" s="52">
        <v>9732</v>
      </c>
      <c r="G53" s="85">
        <f>G116</f>
        <v>19101.905999999999</v>
      </c>
      <c r="H53" s="85">
        <f t="shared" ref="H53" si="12">H116</f>
        <v>29667.789000000001</v>
      </c>
    </row>
    <row r="54" spans="2:10">
      <c r="B54" s="16" t="s">
        <v>17</v>
      </c>
      <c r="C54" s="16"/>
      <c r="D54" s="16"/>
      <c r="E54" s="77">
        <f>SUM(E50:E53)</f>
        <v>67611</v>
      </c>
      <c r="F54" s="53">
        <f>SUM(F50:F53)</f>
        <v>101769</v>
      </c>
      <c r="G54" s="86">
        <f>SUM(G50:G53)</f>
        <v>89384.365424657517</v>
      </c>
      <c r="H54" s="86">
        <f t="shared" ref="H54" si="13">SUM(H50:H53)</f>
        <v>42754.273342465734</v>
      </c>
    </row>
    <row r="55" spans="2:10">
      <c r="B55" s="31" t="s">
        <v>18</v>
      </c>
      <c r="C55" s="31"/>
      <c r="D55" s="31"/>
      <c r="E55" s="31">
        <v>78340</v>
      </c>
      <c r="F55" s="51">
        <v>112577</v>
      </c>
      <c r="G55" s="75">
        <f>G137</f>
        <v>235826</v>
      </c>
      <c r="H55" s="75">
        <f t="shared" ref="H55" si="14">H137</f>
        <v>366269</v>
      </c>
    </row>
    <row r="56" spans="2:10" s="68" customFormat="1">
      <c r="B56" s="78" t="s">
        <v>81</v>
      </c>
      <c r="C56" s="107">
        <f>Assumptions!D17</f>
        <v>0.35</v>
      </c>
      <c r="D56" s="78"/>
      <c r="E56" s="78">
        <v>25542</v>
      </c>
      <c r="F56" s="116">
        <v>41030</v>
      </c>
      <c r="G56" s="87">
        <f>G55*$C$56</f>
        <v>82539.099999999991</v>
      </c>
      <c r="H56" s="87">
        <f>H55*$C$56</f>
        <v>128194.15</v>
      </c>
      <c r="I56" s="67"/>
      <c r="J56" s="38"/>
    </row>
    <row r="57" spans="2:10" s="2" customFormat="1" ht="15.75" thickBot="1">
      <c r="B57" s="79" t="s">
        <v>84</v>
      </c>
      <c r="C57" s="79"/>
      <c r="D57" s="79"/>
      <c r="E57" s="79">
        <f>SUM(E55:E56)</f>
        <v>103882</v>
      </c>
      <c r="F57" s="117">
        <f t="shared" ref="F57:H57" si="15">SUM(F55:F56)</f>
        <v>153607</v>
      </c>
      <c r="G57" s="88">
        <f t="shared" si="15"/>
        <v>318365.09999999998</v>
      </c>
      <c r="H57" s="88">
        <f t="shared" si="15"/>
        <v>494463.15</v>
      </c>
      <c r="I57" s="67"/>
    </row>
    <row r="58" spans="2:10" ht="15.75" thickTop="1">
      <c r="B58" s="2" t="s">
        <v>19</v>
      </c>
      <c r="C58" s="2"/>
      <c r="D58" s="2"/>
      <c r="E58" s="9">
        <f>E57+E54</f>
        <v>171493</v>
      </c>
      <c r="F58" s="54">
        <f>F57+F54</f>
        <v>255376</v>
      </c>
      <c r="G58" s="89">
        <f>G57+G54</f>
        <v>407749.46542465751</v>
      </c>
      <c r="H58" s="89">
        <f>H57+H54</f>
        <v>537217.42334246577</v>
      </c>
    </row>
    <row r="59" spans="2:10">
      <c r="F59" s="55"/>
      <c r="G59" s="75"/>
      <c r="H59" s="75"/>
    </row>
    <row r="60" spans="2:10">
      <c r="B60" s="16" t="s">
        <v>21</v>
      </c>
      <c r="F60" s="55"/>
      <c r="G60" s="75"/>
      <c r="H60" s="75"/>
    </row>
    <row r="61" spans="2:10">
      <c r="B61" t="s">
        <v>78</v>
      </c>
      <c r="E61">
        <v>14697</v>
      </c>
      <c r="F61" s="51">
        <v>21202</v>
      </c>
      <c r="G61" s="75">
        <f>G119</f>
        <v>28867.734246575343</v>
      </c>
      <c r="H61" s="75">
        <f>H119</f>
        <v>38947.726027397257</v>
      </c>
    </row>
    <row r="62" spans="2:10">
      <c r="B62" t="s">
        <v>79</v>
      </c>
      <c r="E62">
        <v>19904</v>
      </c>
      <c r="F62" s="51">
        <v>26729</v>
      </c>
      <c r="G62" s="75">
        <f>G122</f>
        <v>35282.786301369866</v>
      </c>
      <c r="H62" s="75">
        <f>H122</f>
        <v>45439.013698630137</v>
      </c>
    </row>
    <row r="63" spans="2:10">
      <c r="B63" t="s">
        <v>80</v>
      </c>
      <c r="E63">
        <v>3567</v>
      </c>
      <c r="F63" s="51">
        <v>4602</v>
      </c>
      <c r="G63" s="75">
        <f>G125</f>
        <v>5345.8767123287671</v>
      </c>
      <c r="H63" s="75">
        <f>H125</f>
        <v>6491.2876712328762</v>
      </c>
    </row>
    <row r="64" spans="2:10">
      <c r="B64" s="8" t="s">
        <v>85</v>
      </c>
      <c r="C64" s="8"/>
      <c r="D64" s="8"/>
      <c r="E64" s="8">
        <f>SUM(E61:E63)</f>
        <v>38168</v>
      </c>
      <c r="F64" s="56">
        <f>SUM(F61:F63)</f>
        <v>52533</v>
      </c>
      <c r="G64" s="90">
        <f>SUM(G61:G63)</f>
        <v>69496.397260273981</v>
      </c>
      <c r="H64" s="90">
        <f>SUM(H61:H63)</f>
        <v>90878.027397260259</v>
      </c>
    </row>
    <row r="65" spans="2:9">
      <c r="B65" t="s">
        <v>86</v>
      </c>
      <c r="E65">
        <v>0</v>
      </c>
      <c r="F65" s="51">
        <v>3912</v>
      </c>
      <c r="G65" s="75">
        <f>G149</f>
        <v>2503.6799999999998</v>
      </c>
      <c r="H65" s="75">
        <f>H149</f>
        <v>2503.6799999999998</v>
      </c>
    </row>
    <row r="66" spans="2:9">
      <c r="B66" t="s">
        <v>82</v>
      </c>
      <c r="C66" s="29">
        <f>Assumptions!D18</f>
        <v>3.5000000000000003E-2</v>
      </c>
      <c r="E66">
        <v>6529</v>
      </c>
      <c r="F66" s="51">
        <v>8773</v>
      </c>
      <c r="G66" s="75">
        <f>G58*$C$66</f>
        <v>14271.231289863013</v>
      </c>
      <c r="H66" s="75">
        <f>H58*$C$66</f>
        <v>18802.609816986303</v>
      </c>
    </row>
    <row r="67" spans="2:9">
      <c r="B67" t="s">
        <v>83</v>
      </c>
      <c r="E67">
        <v>1117</v>
      </c>
      <c r="F67" s="51">
        <v>2491</v>
      </c>
      <c r="G67" s="75">
        <f>F67</f>
        <v>2491</v>
      </c>
      <c r="H67" s="75">
        <f>G67</f>
        <v>2491</v>
      </c>
    </row>
    <row r="68" spans="2:9">
      <c r="B68" s="8" t="s">
        <v>87</v>
      </c>
      <c r="C68" s="8"/>
      <c r="D68" s="8"/>
      <c r="E68" s="8">
        <f>SUM(E65:E67)</f>
        <v>7646</v>
      </c>
      <c r="F68" s="56">
        <f>SUM(F65:F67)</f>
        <v>15176</v>
      </c>
      <c r="G68" s="90">
        <f>SUM(G65:G67)</f>
        <v>19265.911289863012</v>
      </c>
      <c r="H68" s="90">
        <f>SUM(H65:H67)</f>
        <v>23797.289816986304</v>
      </c>
    </row>
    <row r="69" spans="2:9">
      <c r="F69" s="51"/>
      <c r="G69" s="75"/>
      <c r="H69" s="75"/>
    </row>
    <row r="70" spans="2:9">
      <c r="B70" t="s">
        <v>22</v>
      </c>
      <c r="E70">
        <v>125679</v>
      </c>
      <c r="F70" s="51">
        <v>187667</v>
      </c>
      <c r="G70" s="75">
        <f>G58-G64-G68</f>
        <v>318987.15687452053</v>
      </c>
      <c r="H70" s="75">
        <f>H58-H64-H68</f>
        <v>422542.10612821922</v>
      </c>
    </row>
    <row r="71" spans="2:9" s="2" customFormat="1" ht="15.75" thickBot="1">
      <c r="B71" s="2" t="s">
        <v>88</v>
      </c>
      <c r="E71" s="2">
        <f>E70</f>
        <v>125679</v>
      </c>
      <c r="F71" s="60">
        <f>F70</f>
        <v>187667</v>
      </c>
      <c r="G71" s="89">
        <f>G58-G64-G68</f>
        <v>318987.15687452053</v>
      </c>
      <c r="H71" s="89">
        <f>H58-H64-H68</f>
        <v>422542.10612821922</v>
      </c>
      <c r="I71" s="67"/>
    </row>
    <row r="72" spans="2:9" ht="15.75" thickTop="1">
      <c r="B72" s="19" t="s">
        <v>113</v>
      </c>
      <c r="C72" s="19"/>
      <c r="D72" s="19"/>
      <c r="E72" s="19">
        <f>E71+E68+E64</f>
        <v>171493</v>
      </c>
      <c r="F72" s="58">
        <f>F71+F68+F64</f>
        <v>255376</v>
      </c>
      <c r="G72" s="91">
        <f>G71+G68+G64</f>
        <v>407749.46542465751</v>
      </c>
      <c r="H72" s="91">
        <f>H71+H68+H64</f>
        <v>537217.42334246577</v>
      </c>
    </row>
    <row r="73" spans="2:9">
      <c r="B73" s="11" t="s">
        <v>23</v>
      </c>
      <c r="E73" s="103">
        <f>+E72-E58</f>
        <v>0</v>
      </c>
      <c r="F73" s="57">
        <f>+F72-F58</f>
        <v>0</v>
      </c>
      <c r="G73" s="75">
        <f t="shared" ref="G73" si="16">+G72-G58</f>
        <v>0</v>
      </c>
      <c r="H73" s="93">
        <f>+H72-H58</f>
        <v>0</v>
      </c>
    </row>
    <row r="74" spans="2:9">
      <c r="F74" s="31"/>
    </row>
    <row r="75" spans="2:9">
      <c r="B75" s="1" t="s">
        <v>24</v>
      </c>
      <c r="C75" s="1"/>
      <c r="D75" s="1"/>
      <c r="E75" s="1"/>
      <c r="F75" s="42"/>
      <c r="G75" s="1"/>
      <c r="H75" s="1"/>
    </row>
    <row r="76" spans="2:9">
      <c r="B76" s="3" t="str">
        <f>+B48</f>
        <v>C$ - M</v>
      </c>
      <c r="C76" s="3"/>
      <c r="D76" s="3"/>
      <c r="E76" s="4">
        <v>2001</v>
      </c>
      <c r="F76" s="43">
        <v>2002</v>
      </c>
      <c r="G76" s="5">
        <f t="shared" ref="G76" si="17">+F76+1</f>
        <v>2003</v>
      </c>
      <c r="H76" s="5">
        <f t="shared" ref="H76" si="18">+G76+1</f>
        <v>2004</v>
      </c>
    </row>
    <row r="77" spans="2:9">
      <c r="B77" t="s">
        <v>25</v>
      </c>
      <c r="E77" s="75">
        <f>E32</f>
        <v>14713</v>
      </c>
      <c r="F77" s="92">
        <f>F32</f>
        <v>26378</v>
      </c>
      <c r="G77" s="75">
        <f>G32</f>
        <v>37512</v>
      </c>
      <c r="H77" s="75">
        <f>H32</f>
        <v>49807</v>
      </c>
    </row>
    <row r="78" spans="2:9">
      <c r="B78" t="s">
        <v>3</v>
      </c>
      <c r="E78" s="75">
        <f>-E26</f>
        <v>6458</v>
      </c>
      <c r="F78" s="92">
        <f>-F26</f>
        <v>7959</v>
      </c>
      <c r="G78" s="75">
        <f>-G26</f>
        <v>10121</v>
      </c>
      <c r="H78" s="75">
        <f>-H26</f>
        <v>12081</v>
      </c>
    </row>
    <row r="79" spans="2:9">
      <c r="B79" t="s">
        <v>44</v>
      </c>
      <c r="E79" s="75">
        <f>-E129</f>
        <v>0</v>
      </c>
      <c r="F79" s="92">
        <f>-F129</f>
        <v>7726</v>
      </c>
      <c r="G79" s="75">
        <f>-G129</f>
        <v>7803.2840821917707</v>
      </c>
      <c r="H79" s="75">
        <f t="shared" ref="H79" si="19">-H129</f>
        <v>5999.1788904109635</v>
      </c>
    </row>
    <row r="80" spans="2:9">
      <c r="B80" t="s">
        <v>26</v>
      </c>
      <c r="E80" s="85">
        <v>0</v>
      </c>
      <c r="F80" s="98">
        <v>0</v>
      </c>
      <c r="G80" s="85">
        <v>0</v>
      </c>
      <c r="H80" s="75">
        <v>0</v>
      </c>
    </row>
    <row r="81" spans="2:8">
      <c r="B81" s="8" t="s">
        <v>27</v>
      </c>
      <c r="C81" s="8"/>
      <c r="D81" s="8"/>
      <c r="E81" s="39">
        <f>SUM(E77:E80)</f>
        <v>21171</v>
      </c>
      <c r="F81" s="46">
        <f t="shared" ref="F81:H81" si="20">SUM(F77:F80)</f>
        <v>42063</v>
      </c>
      <c r="G81" s="39">
        <f t="shared" si="20"/>
        <v>55436.284082191771</v>
      </c>
      <c r="H81" s="90">
        <f t="shared" si="20"/>
        <v>67887.178890410956</v>
      </c>
    </row>
    <row r="82" spans="2:8">
      <c r="E82" s="75"/>
      <c r="F82" s="92"/>
      <c r="G82" s="75"/>
      <c r="H82" s="75"/>
    </row>
    <row r="83" spans="2:8">
      <c r="B83" t="s">
        <v>28</v>
      </c>
      <c r="E83" s="75">
        <f>E44</f>
        <v>24214</v>
      </c>
      <c r="F83" s="92">
        <f>F44</f>
        <v>42196</v>
      </c>
      <c r="G83" s="75">
        <f>G44</f>
        <v>133370</v>
      </c>
      <c r="H83" s="75">
        <f>H44</f>
        <v>142524</v>
      </c>
    </row>
    <row r="84" spans="2:8">
      <c r="B84" s="8" t="s">
        <v>29</v>
      </c>
      <c r="C84" s="8"/>
      <c r="D84" s="8"/>
      <c r="E84" s="90">
        <f>SUM(E83)</f>
        <v>24214</v>
      </c>
      <c r="F84" s="102">
        <f>SUM(F83)</f>
        <v>42196</v>
      </c>
      <c r="G84" s="90">
        <f>SUM(G83)</f>
        <v>133370</v>
      </c>
      <c r="H84" s="90">
        <f t="shared" ref="H84" si="21">SUM(H83)</f>
        <v>142524</v>
      </c>
    </row>
    <row r="85" spans="2:8">
      <c r="E85" s="75"/>
      <c r="F85" s="92"/>
      <c r="G85" s="75"/>
      <c r="H85" s="75"/>
    </row>
    <row r="86" spans="2:8">
      <c r="B86" t="s">
        <v>34</v>
      </c>
      <c r="E86" s="75"/>
      <c r="F86" s="92">
        <v>4643</v>
      </c>
      <c r="G86" s="75"/>
      <c r="H86" s="75"/>
    </row>
    <row r="87" spans="2:8">
      <c r="B87" t="s">
        <v>30</v>
      </c>
      <c r="E87" s="75">
        <v>-3600</v>
      </c>
      <c r="F87" s="92"/>
      <c r="G87" s="75">
        <f>G143</f>
        <v>782.40000000000009</v>
      </c>
      <c r="H87" s="75">
        <f t="shared" ref="H87" si="22">H143</f>
        <v>625.92000000000007</v>
      </c>
    </row>
    <row r="88" spans="2:8">
      <c r="B88" t="s">
        <v>31</v>
      </c>
      <c r="E88" s="75"/>
      <c r="F88" s="92"/>
      <c r="G88" s="75"/>
      <c r="H88" s="75"/>
    </row>
    <row r="89" spans="2:8">
      <c r="B89" t="s">
        <v>107</v>
      </c>
      <c r="E89" s="75">
        <v>-15775</v>
      </c>
      <c r="F89" s="92">
        <v>345</v>
      </c>
      <c r="G89" s="75">
        <v>40000</v>
      </c>
      <c r="H89" s="75"/>
    </row>
    <row r="90" spans="2:8">
      <c r="B90" t="s">
        <v>108</v>
      </c>
      <c r="E90" s="75">
        <v>65637</v>
      </c>
      <c r="F90" s="92">
        <v>17202</v>
      </c>
      <c r="G90" s="75"/>
      <c r="H90" s="75"/>
    </row>
    <row r="91" spans="2:8">
      <c r="B91" t="s">
        <v>109</v>
      </c>
      <c r="E91" s="75">
        <f>E93-E92-E90-E89-E88-E87-E86</f>
        <v>-238</v>
      </c>
      <c r="F91" s="92">
        <f>F93-F92-F90-F89-F88-F87-F86</f>
        <v>8741</v>
      </c>
      <c r="G91" s="75"/>
      <c r="H91" s="75"/>
    </row>
    <row r="92" spans="2:8">
      <c r="B92" t="s">
        <v>33</v>
      </c>
      <c r="E92" s="75">
        <v>-7005</v>
      </c>
      <c r="F92" s="92"/>
      <c r="G92" s="75"/>
      <c r="H92" s="75"/>
    </row>
    <row r="93" spans="2:8">
      <c r="B93" s="8" t="s">
        <v>32</v>
      </c>
      <c r="C93" s="8"/>
      <c r="D93" s="8"/>
      <c r="E93" s="90">
        <v>39019</v>
      </c>
      <c r="F93" s="102">
        <v>30931</v>
      </c>
      <c r="G93" s="90">
        <f>SUM(G86:G92)</f>
        <v>40782.400000000001</v>
      </c>
      <c r="H93" s="90">
        <f t="shared" ref="H93" si="23">SUM(H86:H92)</f>
        <v>625.92000000000007</v>
      </c>
    </row>
    <row r="94" spans="2:8" ht="15.75" thickBot="1">
      <c r="B94" s="111"/>
      <c r="C94" s="111"/>
      <c r="D94" s="111"/>
      <c r="E94" s="111"/>
      <c r="F94" s="112"/>
      <c r="G94" s="113"/>
      <c r="H94" s="113"/>
    </row>
    <row r="95" spans="2:8">
      <c r="B95" s="16" t="s">
        <v>35</v>
      </c>
      <c r="C95" s="16"/>
      <c r="D95" s="16"/>
      <c r="E95" s="39">
        <f>+E93-E84+E81</f>
        <v>35976</v>
      </c>
      <c r="F95" s="46">
        <f>+F93-F84+F81</f>
        <v>30798</v>
      </c>
      <c r="G95" s="39">
        <f>+G93-G84+G81</f>
        <v>-37151.315917808235</v>
      </c>
      <c r="H95" s="39">
        <f>+H93-H84+H81</f>
        <v>-74010.901109589031</v>
      </c>
    </row>
    <row r="96" spans="2:8">
      <c r="E96" s="75"/>
      <c r="F96" s="92"/>
      <c r="G96" s="75"/>
      <c r="H96" s="75"/>
    </row>
    <row r="97" spans="2:8">
      <c r="B97" t="s">
        <v>36</v>
      </c>
      <c r="E97" s="75">
        <v>3183</v>
      </c>
      <c r="F97" s="92">
        <f>E99</f>
        <v>25129</v>
      </c>
      <c r="G97" s="75">
        <f>F99</f>
        <v>37196</v>
      </c>
      <c r="H97" s="75">
        <f t="shared" ref="H97" si="24">G99</f>
        <v>44.684082191764901</v>
      </c>
    </row>
    <row r="98" spans="2:8">
      <c r="B98" s="7" t="s">
        <v>37</v>
      </c>
      <c r="C98" s="7"/>
      <c r="D98" s="7"/>
      <c r="E98" s="85">
        <f>E99-E97</f>
        <v>21946</v>
      </c>
      <c r="F98" s="98">
        <f>F99-F97</f>
        <v>12067</v>
      </c>
      <c r="G98" s="85">
        <f>G95</f>
        <v>-37151.315917808235</v>
      </c>
      <c r="H98" s="85">
        <f t="shared" ref="H98" si="25">H95</f>
        <v>-74010.901109589031</v>
      </c>
    </row>
    <row r="99" spans="2:8">
      <c r="B99" s="119" t="s">
        <v>38</v>
      </c>
      <c r="C99" s="119"/>
      <c r="D99" s="119"/>
      <c r="E99" s="120">
        <v>25129</v>
      </c>
      <c r="F99" s="121">
        <f>+F50</f>
        <v>37196</v>
      </c>
      <c r="G99" s="120">
        <f>+G97+G98</f>
        <v>44.684082191764901</v>
      </c>
      <c r="H99" s="120">
        <f t="shared" ref="H99" si="26">+H97+H98</f>
        <v>-73966.217027397273</v>
      </c>
    </row>
    <row r="100" spans="2:8">
      <c r="F100" s="31"/>
    </row>
    <row r="101" spans="2:8">
      <c r="F101" s="31"/>
    </row>
    <row r="102" spans="2:8">
      <c r="F102" s="31"/>
    </row>
    <row r="103" spans="2:8">
      <c r="B103" s="20" t="s">
        <v>39</v>
      </c>
      <c r="C103" s="20"/>
      <c r="D103" s="20"/>
      <c r="E103" s="20"/>
      <c r="F103" s="59"/>
      <c r="G103" s="20"/>
      <c r="H103" s="20"/>
    </row>
    <row r="104" spans="2:8">
      <c r="F104" s="31"/>
    </row>
    <row r="105" spans="2:8">
      <c r="B105" s="1" t="s">
        <v>40</v>
      </c>
      <c r="C105" s="1"/>
      <c r="D105" s="1"/>
      <c r="E105" s="1"/>
      <c r="F105" s="42"/>
      <c r="G105" s="1"/>
      <c r="H105" s="1"/>
    </row>
    <row r="106" spans="2:8">
      <c r="B106" s="3" t="str">
        <f>+B76</f>
        <v>C$ - M</v>
      </c>
      <c r="C106" s="3"/>
      <c r="D106" s="3"/>
      <c r="E106" s="4">
        <v>2001</v>
      </c>
      <c r="F106" s="43">
        <v>2002</v>
      </c>
      <c r="G106" s="5">
        <f t="shared" ref="G106" si="27">+F106+1</f>
        <v>2003</v>
      </c>
      <c r="H106" s="5">
        <f t="shared" ref="H106" si="28">+G106+1</f>
        <v>2004</v>
      </c>
    </row>
    <row r="107" spans="2:8">
      <c r="B107" t="str">
        <f>+B9</f>
        <v>Total Sales</v>
      </c>
      <c r="D107" s="75"/>
      <c r="E107" s="75">
        <f>+E9</f>
        <v>300638</v>
      </c>
      <c r="F107" s="92">
        <f>+F9</f>
        <v>395309</v>
      </c>
      <c r="G107" s="75">
        <f>+G9</f>
        <v>495328</v>
      </c>
      <c r="H107" s="75">
        <f>+H9</f>
        <v>606197</v>
      </c>
    </row>
    <row r="108" spans="2:8">
      <c r="B108" t="str">
        <f>+B14</f>
        <v>Total COGS</v>
      </c>
      <c r="D108" s="75"/>
      <c r="E108" s="75">
        <f>+E14</f>
        <v>250624</v>
      </c>
      <c r="F108" s="92">
        <f>+F14</f>
        <v>316945</v>
      </c>
      <c r="G108" s="75">
        <f>G14</f>
        <v>390249</v>
      </c>
      <c r="H108" s="75">
        <f>H14</f>
        <v>473864</v>
      </c>
    </row>
    <row r="109" spans="2:8">
      <c r="D109" s="75"/>
      <c r="E109" s="75"/>
      <c r="F109" s="92"/>
      <c r="G109" s="75"/>
      <c r="H109" s="75"/>
    </row>
    <row r="110" spans="2:8">
      <c r="B110" t="str">
        <f>+B51</f>
        <v>Receivables</v>
      </c>
      <c r="D110" s="75"/>
      <c r="E110" s="93">
        <f>+E51</f>
        <v>24733</v>
      </c>
      <c r="F110" s="92">
        <f>+F51</f>
        <v>38682</v>
      </c>
      <c r="G110" s="75">
        <f>G107/365*G111</f>
        <v>48854.268493150681</v>
      </c>
      <c r="H110" s="75">
        <f>H107/365*H111</f>
        <v>59789.293150684927</v>
      </c>
    </row>
    <row r="111" spans="2:8">
      <c r="B111" s="11" t="s">
        <v>61</v>
      </c>
      <c r="C111" s="26">
        <f>+Assumptions!D5</f>
        <v>36</v>
      </c>
      <c r="D111" s="99"/>
      <c r="E111" s="99">
        <f>E51/(E107/365)</f>
        <v>30.027957210997947</v>
      </c>
      <c r="F111" s="100">
        <f>F51/(F107/365)</f>
        <v>35.716186578094607</v>
      </c>
      <c r="G111" s="69">
        <f>$C$111</f>
        <v>36</v>
      </c>
      <c r="H111" s="69">
        <f>$C$111</f>
        <v>36</v>
      </c>
    </row>
    <row r="112" spans="2:8">
      <c r="D112" s="75"/>
      <c r="E112" s="75"/>
      <c r="F112" s="92"/>
      <c r="G112" s="75"/>
      <c r="H112" s="75"/>
    </row>
    <row r="113" spans="2:9">
      <c r="B113" t="str">
        <f>+B52</f>
        <v xml:space="preserve">Inventory </v>
      </c>
      <c r="D113" s="75"/>
      <c r="E113" s="93">
        <f>+E52</f>
        <v>12031</v>
      </c>
      <c r="F113" s="92">
        <f>+F52</f>
        <v>16159</v>
      </c>
      <c r="G113" s="75">
        <f>G108/365*G114</f>
        <v>21383.506849315068</v>
      </c>
      <c r="H113" s="75">
        <f>H108/365*H114</f>
        <v>27263.40821917808</v>
      </c>
    </row>
    <row r="114" spans="2:9">
      <c r="B114" s="11" t="s">
        <v>62</v>
      </c>
      <c r="C114" s="26">
        <f>+Assumptions!D6</f>
        <v>20</v>
      </c>
      <c r="D114" s="99"/>
      <c r="E114" s="69">
        <f>+E113/E$108*365</f>
        <v>17.521526270429007</v>
      </c>
      <c r="F114" s="100">
        <f>+F113/F$108*365</f>
        <v>18.609017337392924</v>
      </c>
      <c r="G114" s="99">
        <f>$C$114</f>
        <v>20</v>
      </c>
      <c r="H114" s="99">
        <v>21</v>
      </c>
    </row>
    <row r="115" spans="2:9">
      <c r="D115" s="75"/>
      <c r="E115" s="93"/>
      <c r="F115" s="92"/>
      <c r="G115" s="75"/>
      <c r="H115" s="75"/>
    </row>
    <row r="116" spans="2:9">
      <c r="B116" t="str">
        <f>+B53</f>
        <v>Other ST Assets</v>
      </c>
      <c r="D116" s="75"/>
      <c r="E116" s="93">
        <f>+E53</f>
        <v>5718</v>
      </c>
      <c r="F116" s="92">
        <f>+F53</f>
        <v>9732</v>
      </c>
      <c r="G116" s="75">
        <f>G117*G57</f>
        <v>19101.905999999999</v>
      </c>
      <c r="H116" s="75">
        <f>H117*H57</f>
        <v>29667.789000000001</v>
      </c>
    </row>
    <row r="117" spans="2:9">
      <c r="B117" t="s">
        <v>99</v>
      </c>
      <c r="C117" s="29">
        <f>Assumptions!D9</f>
        <v>0.06</v>
      </c>
      <c r="D117" s="75"/>
      <c r="E117" s="74">
        <f>E116/E57</f>
        <v>5.5043222117402438E-2</v>
      </c>
      <c r="F117" s="48">
        <f>F116/F57</f>
        <v>6.3356487660067573E-2</v>
      </c>
      <c r="G117" s="41">
        <f>C117</f>
        <v>0.06</v>
      </c>
      <c r="H117" s="41">
        <f>C117</f>
        <v>0.06</v>
      </c>
    </row>
    <row r="118" spans="2:9">
      <c r="D118" s="75"/>
      <c r="E118" s="93"/>
      <c r="F118" s="92"/>
      <c r="G118" s="75"/>
      <c r="H118" s="75"/>
    </row>
    <row r="119" spans="2:9">
      <c r="B119" t="s">
        <v>78</v>
      </c>
      <c r="D119" s="75"/>
      <c r="E119" s="93">
        <f>E61</f>
        <v>14697</v>
      </c>
      <c r="F119" s="92">
        <f>F61</f>
        <v>21202</v>
      </c>
      <c r="G119" s="75">
        <f>G108/365*G120</f>
        <v>28867.734246575343</v>
      </c>
      <c r="H119" s="75">
        <f>H108/365*H120</f>
        <v>38947.726027397257</v>
      </c>
    </row>
    <row r="120" spans="2:9" s="11" customFormat="1">
      <c r="B120" s="11" t="s">
        <v>103</v>
      </c>
      <c r="D120" s="99"/>
      <c r="E120" s="69">
        <f>E119/(E108/365)</f>
        <v>21.404195128958122</v>
      </c>
      <c r="F120" s="100">
        <f>F119/(F108/365)</f>
        <v>24.416633800817177</v>
      </c>
      <c r="G120" s="99">
        <v>27</v>
      </c>
      <c r="H120" s="99">
        <v>30</v>
      </c>
      <c r="I120" s="67"/>
    </row>
    <row r="121" spans="2:9">
      <c r="D121" s="75"/>
      <c r="E121" s="93"/>
      <c r="F121" s="92"/>
      <c r="G121" s="75"/>
      <c r="H121" s="75"/>
    </row>
    <row r="122" spans="2:9">
      <c r="B122" t="s">
        <v>79</v>
      </c>
      <c r="D122" s="75"/>
      <c r="E122" s="93">
        <f>E62</f>
        <v>19904</v>
      </c>
      <c r="F122" s="92">
        <f>F62</f>
        <v>26729</v>
      </c>
      <c r="G122" s="75">
        <f>G123*G108/365</f>
        <v>35282.786301369866</v>
      </c>
      <c r="H122" s="75">
        <f>H123*H108/365</f>
        <v>45439.013698630137</v>
      </c>
    </row>
    <row r="123" spans="2:9" s="108" customFormat="1">
      <c r="B123" s="108" t="s">
        <v>105</v>
      </c>
      <c r="E123" s="110">
        <f>E122/(E108/365)</f>
        <v>28.987487231869256</v>
      </c>
      <c r="F123" s="118">
        <f>F122/(F108/365)</f>
        <v>30.78163403745129</v>
      </c>
      <c r="G123" s="110">
        <v>33</v>
      </c>
      <c r="H123" s="110">
        <v>35</v>
      </c>
      <c r="I123" s="109"/>
    </row>
    <row r="124" spans="2:9">
      <c r="D124" s="75"/>
      <c r="E124" s="93"/>
      <c r="F124" s="92"/>
      <c r="G124" s="75"/>
      <c r="H124" s="75"/>
    </row>
    <row r="125" spans="2:9">
      <c r="B125" t="str">
        <f>+B63</f>
        <v>Other ST Liabilities</v>
      </c>
      <c r="D125" s="75"/>
      <c r="E125" s="93">
        <f>+E63</f>
        <v>3567</v>
      </c>
      <c r="F125" s="92">
        <f>+F63</f>
        <v>4602</v>
      </c>
      <c r="G125" s="75">
        <f>G108/365*G126</f>
        <v>5345.8767123287671</v>
      </c>
      <c r="H125" s="75">
        <f>H108/365*H126</f>
        <v>6491.2876712328762</v>
      </c>
    </row>
    <row r="126" spans="2:9">
      <c r="B126" s="11" t="s">
        <v>43</v>
      </c>
      <c r="C126" s="25">
        <f>+Assumptions!D7</f>
        <v>5</v>
      </c>
      <c r="D126" s="75"/>
      <c r="E126" s="69">
        <f>E125/E$108*365</f>
        <v>5.1948536453013281</v>
      </c>
      <c r="F126" s="100">
        <f>F125/F$108*365</f>
        <v>5.2997523229582422</v>
      </c>
      <c r="G126" s="99">
        <f>$C$126</f>
        <v>5</v>
      </c>
      <c r="H126" s="99">
        <f>$C$126</f>
        <v>5</v>
      </c>
    </row>
    <row r="127" spans="2:9">
      <c r="D127" s="75"/>
      <c r="E127" s="93"/>
      <c r="F127" s="92"/>
      <c r="G127" s="75"/>
      <c r="H127" s="75"/>
    </row>
    <row r="128" spans="2:9">
      <c r="B128" s="2" t="s">
        <v>40</v>
      </c>
      <c r="C128" s="2"/>
      <c r="D128" s="89"/>
      <c r="E128" s="39">
        <f>E125+E122+E119-E116-E113-E110</f>
        <v>-4314</v>
      </c>
      <c r="F128" s="39">
        <f>F125+F122+F119-F116-F113-F110</f>
        <v>-12040</v>
      </c>
      <c r="G128" s="39">
        <f>G125+G122+G119-G116-G113-G110</f>
        <v>-19843.284082191771</v>
      </c>
      <c r="H128" s="39">
        <f>H125+H122+H119-H116-H113-H110</f>
        <v>-25842.462972602734</v>
      </c>
    </row>
    <row r="129" spans="2:9">
      <c r="B129" s="2" t="s">
        <v>44</v>
      </c>
      <c r="C129" s="2"/>
      <c r="D129" s="89"/>
      <c r="E129" s="89"/>
      <c r="F129" s="46">
        <f>F128-E128</f>
        <v>-7726</v>
      </c>
      <c r="G129" s="89">
        <f>G128-F128</f>
        <v>-7803.2840821917707</v>
      </c>
      <c r="H129" s="89">
        <f>H128-G128</f>
        <v>-5999.1788904109635</v>
      </c>
    </row>
    <row r="130" spans="2:9">
      <c r="F130" s="31"/>
    </row>
    <row r="131" spans="2:9">
      <c r="F131" s="31"/>
    </row>
    <row r="132" spans="2:9" ht="24.95" customHeight="1">
      <c r="B132" s="21" t="s">
        <v>45</v>
      </c>
      <c r="C132" s="21"/>
      <c r="D132" s="21"/>
      <c r="E132" s="21"/>
      <c r="F132" s="61"/>
      <c r="G132" s="21"/>
      <c r="H132" s="21"/>
    </row>
    <row r="133" spans="2:9">
      <c r="B133" s="3" t="str">
        <f>+B106</f>
        <v>C$ - M</v>
      </c>
      <c r="C133" s="3"/>
      <c r="D133" s="3"/>
      <c r="E133" s="4">
        <v>2001</v>
      </c>
      <c r="F133" s="43">
        <v>2002</v>
      </c>
      <c r="G133" s="5">
        <f t="shared" ref="G133" si="29">+F133+1</f>
        <v>2003</v>
      </c>
      <c r="H133" s="5">
        <f t="shared" ref="H133" si="30">+G133+1</f>
        <v>2004</v>
      </c>
    </row>
    <row r="134" spans="2:9">
      <c r="B134" t="s">
        <v>46</v>
      </c>
      <c r="E134" s="75">
        <v>60584</v>
      </c>
      <c r="F134" s="92">
        <v>78340</v>
      </c>
      <c r="G134" s="75">
        <f>F137</f>
        <v>112577</v>
      </c>
      <c r="H134" s="75">
        <f t="shared" ref="H134" si="31">G137</f>
        <v>235826</v>
      </c>
    </row>
    <row r="135" spans="2:9">
      <c r="B135" t="s">
        <v>12</v>
      </c>
      <c r="E135" s="75">
        <f>E137-E134-E136</f>
        <v>24214</v>
      </c>
      <c r="F135" s="92">
        <f>F137-F134-F136</f>
        <v>42196</v>
      </c>
      <c r="G135" s="75">
        <f>G44</f>
        <v>133370</v>
      </c>
      <c r="H135" s="75">
        <f>H44</f>
        <v>142524</v>
      </c>
    </row>
    <row r="136" spans="2:9">
      <c r="B136" s="7" t="s">
        <v>3</v>
      </c>
      <c r="C136" s="27"/>
      <c r="D136" s="7"/>
      <c r="E136" s="85">
        <f>E26</f>
        <v>-6458</v>
      </c>
      <c r="F136" s="98">
        <f>F26</f>
        <v>-7959</v>
      </c>
      <c r="G136" s="85">
        <f>G26</f>
        <v>-10121</v>
      </c>
      <c r="H136" s="85">
        <f>H26</f>
        <v>-12081</v>
      </c>
    </row>
    <row r="137" spans="2:9">
      <c r="B137" s="2" t="s">
        <v>47</v>
      </c>
      <c r="C137" s="2"/>
      <c r="D137" s="2"/>
      <c r="E137" s="89">
        <f>F134</f>
        <v>78340</v>
      </c>
      <c r="F137" s="46">
        <f>+F55</f>
        <v>112577</v>
      </c>
      <c r="G137" s="89">
        <f>SUM(G134:G136)</f>
        <v>235826</v>
      </c>
      <c r="H137" s="89">
        <f t="shared" ref="H137" si="32">SUM(H134:H136)</f>
        <v>366269</v>
      </c>
    </row>
    <row r="138" spans="2:9">
      <c r="F138" s="31"/>
    </row>
    <row r="139" spans="2:9">
      <c r="F139" s="31"/>
    </row>
    <row r="140" spans="2:9" ht="16.5">
      <c r="B140" s="21" t="s">
        <v>48</v>
      </c>
      <c r="C140" s="21"/>
      <c r="D140" s="21"/>
      <c r="E140" s="21"/>
      <c r="F140" s="61"/>
      <c r="G140" s="21"/>
      <c r="H140" s="21"/>
    </row>
    <row r="141" spans="2:9">
      <c r="B141" s="3" t="str">
        <f>+$B$133</f>
        <v>C$ - M</v>
      </c>
      <c r="C141" s="3"/>
      <c r="D141" s="3"/>
      <c r="E141" s="4">
        <v>2001</v>
      </c>
      <c r="F141" s="43">
        <v>2002</v>
      </c>
      <c r="G141" s="5">
        <f t="shared" ref="G141" si="33">+F141+1</f>
        <v>2003</v>
      </c>
      <c r="H141" s="5">
        <f t="shared" ref="H141" si="34">+G141+1</f>
        <v>2004</v>
      </c>
    </row>
    <row r="142" spans="2:9">
      <c r="B142" t="s">
        <v>49</v>
      </c>
      <c r="E142" s="75">
        <v>0</v>
      </c>
      <c r="F142" s="92">
        <v>0</v>
      </c>
      <c r="G142" s="75">
        <f>F144</f>
        <v>3912</v>
      </c>
      <c r="H142" s="75">
        <f t="shared" ref="H142" si="35">G144</f>
        <v>3129.6</v>
      </c>
    </row>
    <row r="143" spans="2:9">
      <c r="B143" t="s">
        <v>55</v>
      </c>
      <c r="C143" s="30">
        <f>+Assumptions!D12</f>
        <v>0.2</v>
      </c>
      <c r="E143" s="93">
        <v>0</v>
      </c>
      <c r="F143" s="92">
        <f>F142*$C$143</f>
        <v>0</v>
      </c>
      <c r="G143" s="93">
        <f>$C$143*G142</f>
        <v>782.40000000000009</v>
      </c>
      <c r="H143" s="93">
        <f>$C$143*H142</f>
        <v>625.92000000000007</v>
      </c>
      <c r="I143" s="83"/>
    </row>
    <row r="144" spans="2:9">
      <c r="B144" t="s">
        <v>50</v>
      </c>
      <c r="C144" s="30"/>
      <c r="E144" s="93">
        <f>E65</f>
        <v>0</v>
      </c>
      <c r="F144" s="92">
        <f>F65</f>
        <v>3912</v>
      </c>
      <c r="G144" s="93">
        <f>G142-G143</f>
        <v>3129.6</v>
      </c>
      <c r="H144" s="93">
        <f>H142-H143</f>
        <v>2503.6799999999998</v>
      </c>
    </row>
    <row r="145" spans="2:9">
      <c r="C145" s="30"/>
      <c r="E145" s="93"/>
      <c r="F145" s="92"/>
      <c r="G145" s="75"/>
      <c r="H145" s="75"/>
    </row>
    <row r="146" spans="2:9">
      <c r="B146" t="s">
        <v>4</v>
      </c>
      <c r="C146" s="30">
        <f>+Assumptions!D13</f>
        <v>0.04</v>
      </c>
      <c r="E146" s="75"/>
      <c r="F146" s="92"/>
      <c r="G146" s="75">
        <f>-G142*$C$146</f>
        <v>-156.47999999999999</v>
      </c>
      <c r="H146" s="75">
        <f>-H142*$C$146</f>
        <v>-125.184</v>
      </c>
    </row>
    <row r="147" spans="2:9">
      <c r="E147" s="75"/>
      <c r="F147" s="92"/>
      <c r="G147" s="75"/>
      <c r="H147" s="75"/>
    </row>
    <row r="148" spans="2:9">
      <c r="B148" t="s">
        <v>51</v>
      </c>
      <c r="E148" s="75"/>
      <c r="F148" s="92"/>
      <c r="G148" s="75">
        <f>H143</f>
        <v>625.92000000000007</v>
      </c>
      <c r="H148" s="75">
        <f>I143</f>
        <v>0</v>
      </c>
    </row>
    <row r="149" spans="2:9">
      <c r="B149" t="s">
        <v>52</v>
      </c>
      <c r="E149" s="75"/>
      <c r="F149" s="92"/>
      <c r="G149" s="75">
        <f>G144-H143</f>
        <v>2503.6799999999998</v>
      </c>
      <c r="H149" s="75">
        <f>H144-I143</f>
        <v>2503.6799999999998</v>
      </c>
    </row>
    <row r="150" spans="2:9">
      <c r="E150" s="75"/>
      <c r="F150" s="92"/>
      <c r="G150" s="75"/>
      <c r="H150" s="75"/>
    </row>
    <row r="151" spans="2:9">
      <c r="B151" t="s">
        <v>64</v>
      </c>
      <c r="E151" s="75"/>
      <c r="F151" s="92">
        <f>F97</f>
        <v>25129</v>
      </c>
      <c r="G151" s="75">
        <f>G97</f>
        <v>37196</v>
      </c>
      <c r="H151" s="75">
        <f t="shared" ref="H151" si="36">H97</f>
        <v>44.684082191764901</v>
      </c>
    </row>
    <row r="152" spans="2:9">
      <c r="B152" t="s">
        <v>65</v>
      </c>
      <c r="E152" s="75"/>
      <c r="F152" s="92">
        <f>F99</f>
        <v>37196</v>
      </c>
      <c r="G152" s="75">
        <f>G99</f>
        <v>44.684082191764901</v>
      </c>
      <c r="H152" s="75">
        <f t="shared" ref="H152" si="37">H99</f>
        <v>-73966.217027397273</v>
      </c>
    </row>
    <row r="153" spans="2:9">
      <c r="B153" t="s">
        <v>67</v>
      </c>
      <c r="C153" s="29">
        <f>Assumptions!D15</f>
        <v>0.05</v>
      </c>
      <c r="E153" s="75"/>
      <c r="F153" s="92"/>
      <c r="G153" s="75">
        <f>IF(G151&lt;0,G151*(1*$C$153),0)</f>
        <v>0</v>
      </c>
      <c r="H153" s="75">
        <f>IF(H151&lt;0,H151*(1*$C$153),0)</f>
        <v>0</v>
      </c>
    </row>
    <row r="154" spans="2:9">
      <c r="B154" t="s">
        <v>66</v>
      </c>
      <c r="C154" s="29">
        <f>Assumptions!D14</f>
        <v>0.01</v>
      </c>
      <c r="E154" s="75"/>
      <c r="F154" s="92"/>
      <c r="G154" s="75">
        <f>IF(G152&gt;0,G152*(1*$C$154),0)</f>
        <v>0.44684082191764901</v>
      </c>
      <c r="H154" s="75">
        <f>IF(H152&gt;0,H152*(1*$C$154),0)</f>
        <v>0</v>
      </c>
    </row>
    <row r="155" spans="2:9">
      <c r="C155" s="29"/>
      <c r="E155" s="75"/>
      <c r="F155" s="92"/>
      <c r="G155" s="75"/>
      <c r="H155" s="75"/>
    </row>
    <row r="156" spans="2:9" s="2" customFormat="1">
      <c r="B156" s="2" t="s">
        <v>56</v>
      </c>
      <c r="C156" s="36"/>
      <c r="E156" s="89"/>
      <c r="F156" s="46"/>
      <c r="G156" s="89">
        <f>G153+G154+G146</f>
        <v>-156.03315917808234</v>
      </c>
      <c r="H156" s="89">
        <f>H153+H154+H146</f>
        <v>-125.184</v>
      </c>
      <c r="I156" s="67"/>
    </row>
    <row r="157" spans="2:9">
      <c r="F157" s="31"/>
    </row>
    <row r="158" spans="2:9">
      <c r="F158" s="31"/>
    </row>
    <row r="159" spans="2:9">
      <c r="F159" s="31"/>
    </row>
    <row r="160" spans="2:9">
      <c r="F160" s="31"/>
    </row>
    <row r="161" spans="6:6">
      <c r="F161" s="31"/>
    </row>
    <row r="162" spans="6:6">
      <c r="F162" s="31"/>
    </row>
    <row r="163" spans="6:6">
      <c r="F163" s="31"/>
    </row>
    <row r="164" spans="6:6">
      <c r="F164" s="31"/>
    </row>
    <row r="165" spans="6:6">
      <c r="F165" s="31"/>
    </row>
    <row r="166" spans="6:6">
      <c r="F166" s="31"/>
    </row>
    <row r="167" spans="6:6">
      <c r="F167" s="31"/>
    </row>
    <row r="168" spans="6:6">
      <c r="F168" s="31"/>
    </row>
    <row r="169" spans="6:6">
      <c r="F169" s="31"/>
    </row>
    <row r="170" spans="6:6">
      <c r="F170" s="31"/>
    </row>
    <row r="171" spans="6:6">
      <c r="F171" s="31"/>
    </row>
    <row r="172" spans="6:6">
      <c r="F172" s="31"/>
    </row>
    <row r="173" spans="6:6">
      <c r="F173" s="31"/>
    </row>
    <row r="174" spans="6:6">
      <c r="F174" s="31"/>
    </row>
    <row r="175" spans="6:6">
      <c r="F175" s="31"/>
    </row>
    <row r="176" spans="6:6">
      <c r="F176" s="31"/>
    </row>
    <row r="177" spans="6:6">
      <c r="F177" s="31"/>
    </row>
    <row r="178" spans="6:6">
      <c r="F178" s="31"/>
    </row>
    <row r="179" spans="6:6">
      <c r="F179" s="31"/>
    </row>
    <row r="180" spans="6:6">
      <c r="F180" s="31"/>
    </row>
    <row r="181" spans="6:6">
      <c r="F181" s="31"/>
    </row>
    <row r="182" spans="6:6">
      <c r="F182" s="31"/>
    </row>
    <row r="183" spans="6:6">
      <c r="F183" s="31"/>
    </row>
    <row r="184" spans="6:6">
      <c r="F184" s="31"/>
    </row>
    <row r="185" spans="6:6">
      <c r="F185" s="31"/>
    </row>
  </sheetData>
  <conditionalFormatting sqref="F73:H73">
    <cfRule type="cellIs" dxfId="1" priority="2" operator="notEqual">
      <formula>0</formula>
    </cfRule>
  </conditionalFormatting>
  <conditionalFormatting sqref="E73">
    <cfRule type="cellIs" dxfId="0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93" fitToHeight="0" orientation="portrait" r:id="rId1"/>
  <rowBreaks count="4" manualBreakCount="4">
    <brk id="46" min="1" max="8" man="1"/>
    <brk id="74" max="16383" man="1"/>
    <brk id="102" max="16383" man="1"/>
    <brk id="131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Assumptions</vt:lpstr>
      <vt:lpstr>Company Financials</vt:lpstr>
      <vt:lpstr>'Company Financials'!Print_Area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</dc:creator>
  <cp:lastModifiedBy>Simon Foucher</cp:lastModifiedBy>
  <cp:lastPrinted>2015-10-05T01:50:59Z</cp:lastPrinted>
  <dcterms:created xsi:type="dcterms:W3CDTF">2014-10-05T13:58:37Z</dcterms:created>
  <dcterms:modified xsi:type="dcterms:W3CDTF">2015-10-05T23:19:00Z</dcterms:modified>
</cp:coreProperties>
</file>