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3880" windowHeight="7140"/>
  </bookViews>
  <sheets>
    <sheet name="Valuation Models" sheetId="1" r:id="rId1"/>
    <sheet name="Basic data + Projections" sheetId="2" r:id="rId2"/>
    <sheet name="Sheet3" sheetId="3" r:id="rId3"/>
  </sheets>
  <calcPr calcId="145621" iterateDelta="9.9999999999994451E-4"/>
</workbook>
</file>

<file path=xl/calcChain.xml><?xml version="1.0" encoding="utf-8"?>
<calcChain xmlns="http://schemas.openxmlformats.org/spreadsheetml/2006/main">
  <c r="E40" i="1" l="1"/>
  <c r="E39" i="1"/>
  <c r="E38" i="1"/>
  <c r="K33" i="1" l="1"/>
  <c r="J33" i="1"/>
  <c r="I33" i="1"/>
  <c r="H33" i="1"/>
  <c r="G33" i="1"/>
  <c r="F33" i="1"/>
  <c r="E33" i="1"/>
  <c r="D33" i="1"/>
  <c r="K30" i="1"/>
  <c r="J30" i="1"/>
  <c r="J31" i="1" s="1"/>
  <c r="J32" i="1" s="1"/>
  <c r="J34" i="1" s="1"/>
  <c r="I30" i="1"/>
  <c r="H30" i="1"/>
  <c r="G30" i="1"/>
  <c r="F30" i="1"/>
  <c r="F31" i="1" s="1"/>
  <c r="F32" i="1" s="1"/>
  <c r="F34" i="1" s="1"/>
  <c r="E30" i="1"/>
  <c r="D30" i="1"/>
  <c r="E29" i="1"/>
  <c r="D46" i="1"/>
  <c r="E46" i="1"/>
  <c r="F46" i="1"/>
  <c r="G46" i="1"/>
  <c r="H46" i="1"/>
  <c r="I46" i="1"/>
  <c r="J46" i="1"/>
  <c r="D32" i="1" l="1"/>
  <c r="D34" i="1" s="1"/>
  <c r="H31" i="1"/>
  <c r="H32" i="1"/>
  <c r="H34" i="1" s="1"/>
  <c r="E31" i="1"/>
  <c r="E32" i="1" s="1"/>
  <c r="E34" i="1" s="1"/>
  <c r="I31" i="1"/>
  <c r="I32" i="1" s="1"/>
  <c r="I34" i="1" s="1"/>
  <c r="G31" i="1"/>
  <c r="G32" i="1"/>
  <c r="G34" i="1" s="1"/>
  <c r="K31" i="1"/>
  <c r="K32" i="1" s="1"/>
  <c r="K34" i="1" s="1"/>
  <c r="D31" i="1"/>
  <c r="K58" i="1"/>
  <c r="J58" i="1"/>
  <c r="I58" i="1"/>
  <c r="H58" i="1"/>
  <c r="G58" i="1"/>
  <c r="F58" i="1"/>
  <c r="E58" i="1"/>
  <c r="D58" i="1"/>
  <c r="D62" i="1" s="1"/>
  <c r="E62" i="1" s="1"/>
  <c r="K18" i="1"/>
  <c r="J18" i="1"/>
  <c r="I18" i="1"/>
  <c r="H18" i="1"/>
  <c r="G18" i="1"/>
  <c r="F18" i="1"/>
  <c r="E18" i="1"/>
  <c r="D18" i="1"/>
  <c r="K17" i="1"/>
  <c r="K19" i="1" s="1"/>
  <c r="J17" i="1"/>
  <c r="J19" i="1" s="1"/>
  <c r="I17" i="1"/>
  <c r="I19" i="1" s="1"/>
  <c r="H17" i="1"/>
  <c r="H19" i="1" s="1"/>
  <c r="G17" i="1"/>
  <c r="G19" i="1" s="1"/>
  <c r="F17" i="1"/>
  <c r="F19" i="1" s="1"/>
  <c r="E17" i="1"/>
  <c r="E19" i="1" s="1"/>
  <c r="D17" i="1"/>
  <c r="D19" i="1" s="1"/>
  <c r="R25" i="2"/>
  <c r="Q25" i="2"/>
  <c r="P25" i="2"/>
  <c r="O25" i="2"/>
  <c r="N25" i="2"/>
  <c r="M25" i="2"/>
  <c r="L25" i="2"/>
  <c r="K25" i="2"/>
  <c r="K22" i="2"/>
  <c r="F62" i="1" l="1"/>
  <c r="G62" i="1" s="1"/>
  <c r="H62" i="1" s="1"/>
  <c r="I62" i="1" s="1"/>
  <c r="J62" i="1" s="1"/>
  <c r="R62" i="2"/>
  <c r="Q62" i="2"/>
  <c r="P62" i="2"/>
  <c r="O62" i="2"/>
  <c r="N62" i="2"/>
  <c r="M62" i="2"/>
  <c r="L62" i="2"/>
  <c r="K62" i="2"/>
  <c r="G37" i="2"/>
  <c r="F37" i="2"/>
  <c r="E37" i="2"/>
  <c r="K15" i="2" l="1"/>
  <c r="L15" i="2" s="1"/>
  <c r="M15" i="2" s="1"/>
  <c r="N15" i="2" s="1"/>
  <c r="O15" i="2" s="1"/>
  <c r="P15" i="2" s="1"/>
  <c r="Q15" i="2" s="1"/>
  <c r="R15" i="2" s="1"/>
  <c r="L34" i="2"/>
  <c r="M34" i="2" s="1"/>
  <c r="N34" i="2" s="1"/>
  <c r="O34" i="2" s="1"/>
  <c r="P34" i="2" s="1"/>
  <c r="Q34" i="2" s="1"/>
  <c r="R34" i="2" s="1"/>
  <c r="K34" i="2"/>
  <c r="G34" i="2"/>
  <c r="F34" i="2"/>
  <c r="E34" i="2"/>
  <c r="K29" i="2"/>
  <c r="L29" i="2" s="1"/>
  <c r="M29" i="2" s="1"/>
  <c r="N29" i="2" s="1"/>
  <c r="O29" i="2" s="1"/>
  <c r="P29" i="2" s="1"/>
  <c r="Q29" i="2" s="1"/>
  <c r="R29" i="2" s="1"/>
  <c r="L30" i="2"/>
  <c r="M30" i="2" s="1"/>
  <c r="N30" i="2" s="1"/>
  <c r="O30" i="2" s="1"/>
  <c r="P30" i="2" s="1"/>
  <c r="Q30" i="2" s="1"/>
  <c r="R30" i="2" s="1"/>
  <c r="K30" i="2"/>
  <c r="G30" i="2"/>
  <c r="F30" i="2"/>
  <c r="E30" i="2"/>
  <c r="F73" i="2"/>
  <c r="G85" i="2"/>
  <c r="F85" i="2"/>
  <c r="G84" i="2"/>
  <c r="F84" i="2"/>
  <c r="G83" i="2"/>
  <c r="F83" i="2"/>
  <c r="G82" i="2"/>
  <c r="F82" i="2"/>
  <c r="G81" i="2"/>
  <c r="F81" i="2"/>
  <c r="E81" i="2"/>
  <c r="G78" i="2"/>
  <c r="G75" i="2"/>
  <c r="G72" i="2"/>
  <c r="G74" i="2" s="1"/>
  <c r="F72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5" i="2"/>
  <c r="I15" i="2"/>
  <c r="H15" i="2"/>
  <c r="J14" i="2"/>
  <c r="I14" i="2"/>
  <c r="H14" i="2"/>
  <c r="J12" i="2"/>
  <c r="I12" i="2"/>
  <c r="H12" i="2"/>
  <c r="J11" i="2"/>
  <c r="I11" i="2"/>
  <c r="H11" i="2"/>
  <c r="J10" i="2"/>
  <c r="I10" i="2"/>
  <c r="H10" i="2"/>
  <c r="J8" i="2"/>
  <c r="I8" i="2"/>
  <c r="H8" i="2"/>
  <c r="J7" i="2"/>
  <c r="I7" i="2"/>
  <c r="H7" i="2"/>
  <c r="J6" i="2"/>
  <c r="I6" i="2"/>
  <c r="H6" i="2"/>
  <c r="F76" i="2"/>
  <c r="G76" i="2"/>
  <c r="G73" i="2"/>
  <c r="E72" i="2"/>
  <c r="G67" i="2"/>
  <c r="F67" i="2"/>
  <c r="E67" i="2"/>
  <c r="G56" i="2"/>
  <c r="F56" i="2"/>
  <c r="G47" i="2"/>
  <c r="F47" i="2"/>
  <c r="G21" i="2"/>
  <c r="F21" i="2"/>
  <c r="E21" i="2"/>
  <c r="G15" i="2"/>
  <c r="G12" i="2"/>
  <c r="F12" i="2"/>
  <c r="E12" i="2"/>
  <c r="G8" i="2"/>
  <c r="F8" i="2"/>
  <c r="E8" i="2"/>
  <c r="J8" i="1"/>
  <c r="E16" i="1"/>
  <c r="D50" i="1"/>
  <c r="E7" i="1"/>
  <c r="G59" i="1" l="1"/>
  <c r="G60" i="1" s="1"/>
  <c r="G61" i="1" s="1"/>
  <c r="D59" i="1"/>
  <c r="D60" i="1" s="1"/>
  <c r="D61" i="1" s="1"/>
  <c r="K59" i="1"/>
  <c r="K60" i="1" s="1"/>
  <c r="K61" i="1" s="1"/>
  <c r="E59" i="1"/>
  <c r="E60" i="1" s="1"/>
  <c r="E61" i="1" s="1"/>
  <c r="F59" i="1"/>
  <c r="F60" i="1" s="1"/>
  <c r="F61" i="1" s="1"/>
  <c r="H59" i="1"/>
  <c r="H60" i="1" s="1"/>
  <c r="H61" i="1" s="1"/>
  <c r="I59" i="1"/>
  <c r="I60" i="1" s="1"/>
  <c r="I61" i="1" s="1"/>
  <c r="J59" i="1"/>
  <c r="J60" i="1" s="1"/>
  <c r="J61" i="1" s="1"/>
  <c r="D35" i="1"/>
  <c r="O26" i="2"/>
  <c r="H47" i="1" s="1"/>
  <c r="H48" i="1" s="1"/>
  <c r="K26" i="2"/>
  <c r="D47" i="1" s="1"/>
  <c r="D48" i="1" s="1"/>
  <c r="R26" i="2"/>
  <c r="K47" i="1" s="1"/>
  <c r="N26" i="2"/>
  <c r="G47" i="1" s="1"/>
  <c r="G48" i="1" s="1"/>
  <c r="Q26" i="2"/>
  <c r="J47" i="1" s="1"/>
  <c r="J48" i="1" s="1"/>
  <c r="M26" i="2"/>
  <c r="F47" i="1" s="1"/>
  <c r="F48" i="1" s="1"/>
  <c r="E35" i="1"/>
  <c r="P26" i="2"/>
  <c r="I47" i="1" s="1"/>
  <c r="I48" i="1" s="1"/>
  <c r="L26" i="2"/>
  <c r="E47" i="1" s="1"/>
  <c r="E48" i="1" s="1"/>
  <c r="F16" i="1"/>
  <c r="F29" i="1"/>
  <c r="F35" i="1" s="1"/>
  <c r="R8" i="2"/>
  <c r="M8" i="2"/>
  <c r="Q8" i="2"/>
  <c r="N12" i="2"/>
  <c r="R12" i="2"/>
  <c r="N8" i="2"/>
  <c r="K12" i="2"/>
  <c r="O12" i="2"/>
  <c r="K8" i="2"/>
  <c r="K14" i="2" s="1"/>
  <c r="O8" i="2"/>
  <c r="L12" i="2"/>
  <c r="P12" i="2"/>
  <c r="L8" i="2"/>
  <c r="P8" i="2"/>
  <c r="M12" i="2"/>
  <c r="Q12" i="2"/>
  <c r="F74" i="2"/>
  <c r="G77" i="2"/>
  <c r="F14" i="2"/>
  <c r="F22" i="2" s="1"/>
  <c r="F24" i="2" s="1"/>
  <c r="G14" i="2"/>
  <c r="G22" i="2" s="1"/>
  <c r="G24" i="2" s="1"/>
  <c r="E14" i="2"/>
  <c r="E22" i="2" s="1"/>
  <c r="E24" i="2" s="1"/>
  <c r="E65" i="1"/>
  <c r="E20" i="1"/>
  <c r="D20" i="1"/>
  <c r="E64" i="1" l="1"/>
  <c r="G16" i="1"/>
  <c r="G29" i="1"/>
  <c r="G35" i="1" s="1"/>
  <c r="F20" i="1"/>
  <c r="P14" i="2"/>
  <c r="P22" i="2" s="1"/>
  <c r="P23" i="2" s="1"/>
  <c r="P24" i="2" s="1"/>
  <c r="P60" i="2" s="1"/>
  <c r="O14" i="2"/>
  <c r="O22" i="2" s="1"/>
  <c r="O23" i="2" s="1"/>
  <c r="O24" i="2" s="1"/>
  <c r="O60" i="2" s="1"/>
  <c r="N14" i="2"/>
  <c r="N22" i="2" s="1"/>
  <c r="N23" i="2" s="1"/>
  <c r="N24" i="2" s="1"/>
  <c r="N60" i="2" s="1"/>
  <c r="R14" i="2"/>
  <c r="Q14" i="2"/>
  <c r="M14" i="2"/>
  <c r="L14" i="2"/>
  <c r="K23" i="2"/>
  <c r="K24" i="2" s="1"/>
  <c r="K60" i="2" s="1"/>
  <c r="F75" i="2"/>
  <c r="F77" i="2" s="1"/>
  <c r="F78" i="2" s="1"/>
  <c r="E50" i="1"/>
  <c r="H16" i="1" l="1"/>
  <c r="H29" i="1"/>
  <c r="H35" i="1" s="1"/>
  <c r="G20" i="1"/>
  <c r="Q22" i="2"/>
  <c r="Q23" i="2" s="1"/>
  <c r="Q24" i="2" s="1"/>
  <c r="Q60" i="2" s="1"/>
  <c r="R22" i="2"/>
  <c r="R23" i="2" s="1"/>
  <c r="R24" i="2" s="1"/>
  <c r="R60" i="2" s="1"/>
  <c r="L22" i="2"/>
  <c r="L23" i="2" s="1"/>
  <c r="L24" i="2" s="1"/>
  <c r="L60" i="2" s="1"/>
  <c r="M22" i="2"/>
  <c r="M23" i="2" s="1"/>
  <c r="M24" i="2" s="1"/>
  <c r="M60" i="2" s="1"/>
  <c r="F50" i="1"/>
  <c r="I16" i="1" l="1"/>
  <c r="I29" i="1"/>
  <c r="I35" i="1" s="1"/>
  <c r="H20" i="1"/>
  <c r="G50" i="1"/>
  <c r="J16" i="1" l="1"/>
  <c r="J29" i="1"/>
  <c r="J35" i="1" s="1"/>
  <c r="I20" i="1"/>
  <c r="H50" i="1"/>
  <c r="K16" i="1" l="1"/>
  <c r="K29" i="1"/>
  <c r="K35" i="1" s="1"/>
  <c r="E37" i="1" s="1"/>
  <c r="J20" i="1"/>
  <c r="I50" i="1"/>
  <c r="K46" i="1" l="1"/>
  <c r="E66" i="1"/>
  <c r="E67" i="1" s="1"/>
  <c r="K20" i="1"/>
  <c r="E22" i="1" s="1"/>
  <c r="E23" i="1" s="1"/>
  <c r="K48" i="1"/>
  <c r="J50" i="1"/>
  <c r="K50" i="1" l="1"/>
  <c r="E52" i="1" l="1"/>
  <c r="E53" i="1" s="1"/>
</calcChain>
</file>

<file path=xl/sharedStrings.xml><?xml version="1.0" encoding="utf-8"?>
<sst xmlns="http://schemas.openxmlformats.org/spreadsheetml/2006/main" count="127" uniqueCount="111">
  <si>
    <t>Estimated Value</t>
  </si>
  <si>
    <t>Beta</t>
  </si>
  <si>
    <t>Risk-free rate</t>
  </si>
  <si>
    <t>Expected rate of return</t>
  </si>
  <si>
    <t>Residual earnings stream</t>
  </si>
  <si>
    <t>Maintenance capital expenditures</t>
  </si>
  <si>
    <t>Free cash flow</t>
  </si>
  <si>
    <t>Cash Flow from Operations stream</t>
  </si>
  <si>
    <t>Growth in capital expenditures</t>
  </si>
  <si>
    <t>Estimated Value per share</t>
  </si>
  <si>
    <t>Number of shares outstanding (#)</t>
  </si>
  <si>
    <t>Discounted residual earnings</t>
  </si>
  <si>
    <t>Discounted CFFO stream</t>
  </si>
  <si>
    <t>Dividend</t>
  </si>
  <si>
    <t>Capital</t>
  </si>
  <si>
    <t>Earnings</t>
  </si>
  <si>
    <t>Terminal Value</t>
  </si>
  <si>
    <t>Abnormal Earnings Approach</t>
  </si>
  <si>
    <t>Abnormal NOPAT Approach</t>
  </si>
  <si>
    <t>Estimated Tax Rate</t>
  </si>
  <si>
    <t>NOPAT</t>
  </si>
  <si>
    <t>Beta-Asset</t>
  </si>
  <si>
    <t>Net Debt</t>
  </si>
  <si>
    <t>Estimated Value - Equity</t>
  </si>
  <si>
    <t>Expected growth (first year)</t>
  </si>
  <si>
    <t>Annual decline in growth rate</t>
  </si>
  <si>
    <t>Operating Revenue</t>
  </si>
  <si>
    <t>Scheduled</t>
  </si>
  <si>
    <t>Ancillary</t>
  </si>
  <si>
    <t>Operating Expenses</t>
  </si>
  <si>
    <t>Staff</t>
  </si>
  <si>
    <t>Other</t>
  </si>
  <si>
    <t>Operating Margin</t>
  </si>
  <si>
    <t>Depreciation and amortization</t>
  </si>
  <si>
    <t>FX Gains</t>
  </si>
  <si>
    <t>Gain(loss)</t>
  </si>
  <si>
    <t>Interest income</t>
  </si>
  <si>
    <t>Interest expense</t>
  </si>
  <si>
    <t>Earnings before income taxes</t>
  </si>
  <si>
    <t>Income taxes</t>
  </si>
  <si>
    <t>Net profit</t>
  </si>
  <si>
    <t>Ryanair</t>
  </si>
  <si>
    <t>Consolidated Profit and Loss Account (million of euros)</t>
  </si>
  <si>
    <t>Fixed Assets</t>
  </si>
  <si>
    <t>Current Assets</t>
  </si>
  <si>
    <t>Cash</t>
  </si>
  <si>
    <t>Others</t>
  </si>
  <si>
    <t>Current Liabilities</t>
  </si>
  <si>
    <t>Other Liabilities</t>
  </si>
  <si>
    <t>Long-Term Debt</t>
  </si>
  <si>
    <t>Equity</t>
  </si>
  <si>
    <t>Consolidated Balance Sheet (million of euros)</t>
  </si>
  <si>
    <t>Consolidated Cash Flow Statement</t>
  </si>
  <si>
    <t>Operations</t>
  </si>
  <si>
    <t>Investment</t>
  </si>
  <si>
    <t>Capital expenditures</t>
  </si>
  <si>
    <t>Acquisitions</t>
  </si>
  <si>
    <t>Financing</t>
  </si>
  <si>
    <t>Finance investment and servicing</t>
  </si>
  <si>
    <t>Change in liquid resources</t>
  </si>
  <si>
    <t>Change in cash</t>
  </si>
  <si>
    <t>Net profit margin</t>
  </si>
  <si>
    <t>Asset turnover</t>
  </si>
  <si>
    <t>Return on assets</t>
  </si>
  <si>
    <t>Net operating profit margin</t>
  </si>
  <si>
    <t>Net operating asset turnover</t>
  </si>
  <si>
    <t>Operating ROA</t>
  </si>
  <si>
    <t>Spread</t>
  </si>
  <si>
    <t>Net financial leverage</t>
  </si>
  <si>
    <t>Financial leverage gain</t>
  </si>
  <si>
    <t>Return on equity</t>
  </si>
  <si>
    <t>Trade and operating</t>
  </si>
  <si>
    <t>Financial</t>
  </si>
  <si>
    <t>Traditional decomposition</t>
  </si>
  <si>
    <t>Financial leverage</t>
  </si>
  <si>
    <t>BASIC RATIO ANALYSIS (using year-end values for balance sheet accounts)</t>
  </si>
  <si>
    <t>Revenue per passenger</t>
  </si>
  <si>
    <t>Fare growth</t>
  </si>
  <si>
    <t>Expense growth</t>
  </si>
  <si>
    <t>Number of passengers (000,000)</t>
  </si>
  <si>
    <t>Passenger growth</t>
  </si>
  <si>
    <t>Operating cost per passenger</t>
  </si>
  <si>
    <t>Income tax rate</t>
  </si>
  <si>
    <t>FORECASTS</t>
  </si>
  <si>
    <t>ASSUMPTIONS</t>
  </si>
  <si>
    <t>Investment in working capital (%sales growth)</t>
  </si>
  <si>
    <t>Capital expenditures ($000,000 per million passenger growth)</t>
  </si>
  <si>
    <t>Cash flow forecast: earnings + depreciation + investment in working capital</t>
  </si>
  <si>
    <t>Residual income</t>
  </si>
  <si>
    <t>Initial Equity Capital ($000,000)</t>
  </si>
  <si>
    <t>Net Interest Cost ($000,000)</t>
  </si>
  <si>
    <t>Initial Net Debt Capital ($000,000)</t>
  </si>
  <si>
    <t>Current year NOPAT estimate ($000,000)</t>
  </si>
  <si>
    <t>Current year cash flow estimate ($000,000)</t>
  </si>
  <si>
    <t>Current year earnings estimate ($000,000)</t>
  </si>
  <si>
    <t>Maintenance capital expenditures ($000,000)</t>
  </si>
  <si>
    <t>Free Cash Flow Approach (Equity)*</t>
  </si>
  <si>
    <t>*Change in book value of net debt assumed to be around zero.</t>
  </si>
  <si>
    <t>Operating Margin (EBITDA)</t>
  </si>
  <si>
    <t>Terminal value growth</t>
  </si>
  <si>
    <t>EBITDA Approach (EBITDA being used as a proxy for Cash Flow)</t>
  </si>
  <si>
    <t>Cost of equity capital</t>
  </si>
  <si>
    <t>Residual NOPAT</t>
  </si>
  <si>
    <t>Discounted value of residual NOPAT</t>
  </si>
  <si>
    <t>Expected market return (Risk-free rate + equity risk premium)</t>
  </si>
  <si>
    <t>ENTERPRISE VALUATION</t>
  </si>
  <si>
    <t>EQUITY VALUATION</t>
  </si>
  <si>
    <t>Net Operating Margin (EBITDA)</t>
  </si>
  <si>
    <t>Net debt</t>
  </si>
  <si>
    <t>Estimated Enterprise Value</t>
  </si>
  <si>
    <t>Estimated Equity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</si>
</sst>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.0%"/>
    <numFmt numFmtId="167" formatCode="_-* #,##0.000_-;\-* #,##0.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9" fontId="1" fillId="0" borderId="0" xfId="1" applyFont="1"/>
    <xf numFmtId="10" fontId="1" fillId="0" borderId="0" xfId="1" applyNumberFormat="1" applyFont="1"/>
    <xf numFmtId="44" fontId="0" fillId="0" borderId="0" xfId="0" applyNumberFormat="1"/>
    <xf numFmtId="0" fontId="2" fillId="0" borderId="0" xfId="0" applyFont="1"/>
    <xf numFmtId="164" fontId="1" fillId="0" borderId="0" xfId="2" applyNumberFormat="1" applyFont="1"/>
    <xf numFmtId="164" fontId="0" fillId="0" borderId="0" xfId="2" applyNumberFormat="1" applyFont="1"/>
    <xf numFmtId="165" fontId="0" fillId="0" borderId="0" xfId="0" applyNumberFormat="1"/>
    <xf numFmtId="9" fontId="0" fillId="0" borderId="0" xfId="0" applyNumberFormat="1"/>
    <xf numFmtId="164" fontId="0" fillId="0" borderId="0" xfId="0" applyNumberFormat="1"/>
    <xf numFmtId="43" fontId="0" fillId="0" borderId="0" xfId="0" applyNumberFormat="1"/>
    <xf numFmtId="166" fontId="0" fillId="0" borderId="0" xfId="1" applyNumberFormat="1" applyFont="1"/>
    <xf numFmtId="9" fontId="0" fillId="0" borderId="0" xfId="1" applyFont="1"/>
    <xf numFmtId="167" fontId="0" fillId="0" borderId="0" xfId="0" applyNumberFormat="1"/>
    <xf numFmtId="43" fontId="0" fillId="0" borderId="0" xfId="2" applyNumberFormat="1" applyFont="1"/>
    <xf numFmtId="164" fontId="2" fillId="0" borderId="0" xfId="2" applyNumberFormat="1" applyFont="1"/>
    <xf numFmtId="0" fontId="0" fillId="2" borderId="0" xfId="0" applyFill="1"/>
    <xf numFmtId="164" fontId="0" fillId="2" borderId="0" xfId="2" applyNumberFormat="1" applyFont="1" applyFill="1"/>
    <xf numFmtId="164" fontId="0" fillId="2" borderId="0" xfId="0" applyNumberFormat="1" applyFill="1"/>
    <xf numFmtId="0" fontId="2" fillId="2" borderId="0" xfId="0" applyFont="1" applyFill="1"/>
    <xf numFmtId="2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7"/>
  <sheetViews>
    <sheetView tabSelected="1" topLeftCell="A6" workbookViewId="0">
      <selection activeCell="A10" sqref="A10"/>
    </sheetView>
  </sheetViews>
  <sheetFormatPr defaultRowHeight="14.5" x14ac:dyDescent="0.35"/>
  <cols>
    <col min="3" max="3" width="13.26953125" customWidth="1"/>
    <col min="4" max="4" width="19.453125" bestFit="1" customWidth="1"/>
    <col min="5" max="5" width="17.7265625" customWidth="1"/>
    <col min="6" max="9" width="15.26953125" bestFit="1" customWidth="1"/>
    <col min="10" max="10" width="19" bestFit="1" customWidth="1"/>
    <col min="11" max="12" width="15.26953125" bestFit="1" customWidth="1"/>
    <col min="13" max="13" width="16.81640625" bestFit="1" customWidth="1"/>
    <col min="14" max="14" width="27.453125" bestFit="1" customWidth="1"/>
  </cols>
  <sheetData>
    <row r="2" spans="1:11" ht="15" x14ac:dyDescent="0.25">
      <c r="A2" t="s">
        <v>94</v>
      </c>
      <c r="E2" s="6">
        <v>207</v>
      </c>
      <c r="G2" t="s">
        <v>89</v>
      </c>
      <c r="J2" s="6">
        <v>1455</v>
      </c>
    </row>
    <row r="3" spans="1:11" ht="15" x14ac:dyDescent="0.25">
      <c r="A3" t="s">
        <v>24</v>
      </c>
      <c r="E3" s="1">
        <v>0.16</v>
      </c>
      <c r="G3" t="s">
        <v>93</v>
      </c>
      <c r="J3" s="6">
        <v>462</v>
      </c>
    </row>
    <row r="4" spans="1:11" ht="15" x14ac:dyDescent="0.25">
      <c r="A4" t="s">
        <v>1</v>
      </c>
      <c r="E4">
        <v>1.24</v>
      </c>
      <c r="G4" t="s">
        <v>92</v>
      </c>
      <c r="J4" s="6">
        <v>228</v>
      </c>
    </row>
    <row r="5" spans="1:11" ht="15" x14ac:dyDescent="0.25">
      <c r="A5" t="s">
        <v>2</v>
      </c>
      <c r="E5" s="2">
        <v>0.05</v>
      </c>
      <c r="G5" t="s">
        <v>91</v>
      </c>
      <c r="J5" s="6">
        <v>-180</v>
      </c>
    </row>
    <row r="6" spans="1:11" ht="15" x14ac:dyDescent="0.25">
      <c r="A6" t="s">
        <v>104</v>
      </c>
      <c r="E6" s="2">
        <v>0.1</v>
      </c>
      <c r="G6" t="s">
        <v>19</v>
      </c>
      <c r="J6" s="8">
        <v>0.09</v>
      </c>
    </row>
    <row r="7" spans="1:11" ht="15" x14ac:dyDescent="0.25">
      <c r="A7" t="s">
        <v>3</v>
      </c>
      <c r="E7" s="2">
        <f>+E5+E4*(E6-E5)</f>
        <v>0.112</v>
      </c>
      <c r="G7" t="s">
        <v>90</v>
      </c>
      <c r="J7" s="6">
        <v>-24</v>
      </c>
    </row>
    <row r="8" spans="1:11" ht="15" x14ac:dyDescent="0.25">
      <c r="A8" t="s">
        <v>95</v>
      </c>
      <c r="E8" s="5">
        <v>360</v>
      </c>
      <c r="G8" t="s">
        <v>21</v>
      </c>
      <c r="J8" s="10">
        <f>+E4*(J2/((1-J6)*J5+J2))</f>
        <v>1.3973048327137545</v>
      </c>
    </row>
    <row r="9" spans="1:11" ht="15" x14ac:dyDescent="0.25">
      <c r="A9" t="s">
        <v>8</v>
      </c>
      <c r="E9" s="2">
        <v>0.16</v>
      </c>
    </row>
    <row r="10" spans="1:11" ht="15" x14ac:dyDescent="0.25">
      <c r="A10" t="s">
        <v>10</v>
      </c>
      <c r="E10" s="6">
        <v>759</v>
      </c>
    </row>
    <row r="11" spans="1:11" ht="15" x14ac:dyDescent="0.25">
      <c r="A11" t="s">
        <v>25</v>
      </c>
      <c r="E11" s="11">
        <v>0.01</v>
      </c>
    </row>
    <row r="12" spans="1:11" x14ac:dyDescent="0.35">
      <c r="A12" t="s">
        <v>99</v>
      </c>
      <c r="E12" s="11">
        <v>0.03</v>
      </c>
    </row>
    <row r="13" spans="1:11" x14ac:dyDescent="0.35">
      <c r="E13" s="11"/>
    </row>
    <row r="14" spans="1:11" x14ac:dyDescent="0.35">
      <c r="A14" s="4" t="s">
        <v>106</v>
      </c>
      <c r="E14" s="11"/>
    </row>
    <row r="15" spans="1:11" ht="15" x14ac:dyDescent="0.25">
      <c r="A15" s="4" t="s">
        <v>96</v>
      </c>
      <c r="B15" s="4"/>
      <c r="K15" t="s">
        <v>16</v>
      </c>
    </row>
    <row r="16" spans="1:11" ht="15" x14ac:dyDescent="0.25">
      <c r="D16">
        <v>2005</v>
      </c>
      <c r="E16">
        <f>+D$16+1</f>
        <v>2006</v>
      </c>
      <c r="F16">
        <f t="shared" ref="F16:K16" si="0">+E$16+1</f>
        <v>2007</v>
      </c>
      <c r="G16">
        <f t="shared" si="0"/>
        <v>2008</v>
      </c>
      <c r="H16">
        <f t="shared" si="0"/>
        <v>2009</v>
      </c>
      <c r="I16">
        <f t="shared" si="0"/>
        <v>2010</v>
      </c>
      <c r="J16">
        <f t="shared" si="0"/>
        <v>2011</v>
      </c>
      <c r="K16">
        <f t="shared" si="0"/>
        <v>2012</v>
      </c>
    </row>
    <row r="17" spans="1:14" ht="15" x14ac:dyDescent="0.25">
      <c r="A17" t="s">
        <v>7</v>
      </c>
      <c r="D17" s="6">
        <f>+'Basic data + Projections'!K60</f>
        <v>440.45374999999973</v>
      </c>
      <c r="E17" s="6">
        <f>+'Basic data + Projections'!L60</f>
        <v>498.27001500000006</v>
      </c>
      <c r="F17" s="6">
        <f>+'Basic data + Projections'!M60</f>
        <v>559.54609699199978</v>
      </c>
      <c r="G17" s="6">
        <f>+'Basic data + Projections'!N60</f>
        <v>628.87657045539834</v>
      </c>
      <c r="H17" s="6">
        <f>+'Basic data + Projections'!O60</f>
        <v>687.41941967501998</v>
      </c>
      <c r="I17" s="6">
        <f>+'Basic data + Projections'!P60</f>
        <v>751.79041740462367</v>
      </c>
      <c r="J17" s="6">
        <f>+'Basic data + Projections'!Q60</f>
        <v>799.04851505516467</v>
      </c>
      <c r="K17" s="6">
        <f>+'Basic data + Projections'!R60</f>
        <v>881.25708185129918</v>
      </c>
      <c r="L17" s="6"/>
      <c r="M17" s="6"/>
      <c r="N17" s="6"/>
    </row>
    <row r="18" spans="1:14" ht="15" x14ac:dyDescent="0.25">
      <c r="A18" t="s">
        <v>5</v>
      </c>
      <c r="D18" s="6">
        <f>+'Basic data + Projections'!K62</f>
        <v>-468</v>
      </c>
      <c r="E18" s="6">
        <f>+'Basic data + Projections'!L62</f>
        <v>-468.00000000000006</v>
      </c>
      <c r="F18" s="6">
        <f>+'Basic data + Projections'!M62</f>
        <v>-505.43999999999994</v>
      </c>
      <c r="G18" s="6">
        <f>+'Basic data + Projections'!N62</f>
        <v>-530.15039999999999</v>
      </c>
      <c r="H18" s="6">
        <f>+'Basic data + Projections'!O62</f>
        <v>-538.10265600000002</v>
      </c>
      <c r="I18" s="6">
        <f>+'Basic data + Projections'!P62</f>
        <v>-525.80316672000004</v>
      </c>
      <c r="J18" s="6">
        <f>+'Basic data + Projections'!Q62</f>
        <v>-490.74962227200012</v>
      </c>
      <c r="K18" s="6">
        <f>+'Basic data + Projections'!R62</f>
        <v>-431.85966759936014</v>
      </c>
      <c r="L18" s="6"/>
      <c r="M18" s="6"/>
      <c r="N18" s="6"/>
    </row>
    <row r="19" spans="1:14" ht="15" x14ac:dyDescent="0.25">
      <c r="A19" t="s">
        <v>6</v>
      </c>
      <c r="D19" s="6">
        <f>+D17+D18</f>
        <v>-27.546250000000271</v>
      </c>
      <c r="E19" s="6">
        <f t="shared" ref="E19:K19" si="1">+E17+E18</f>
        <v>30.270015000000001</v>
      </c>
      <c r="F19" s="6">
        <f t="shared" si="1"/>
        <v>54.106096991999834</v>
      </c>
      <c r="G19" s="6">
        <f t="shared" si="1"/>
        <v>98.726170455398346</v>
      </c>
      <c r="H19" s="6">
        <f t="shared" si="1"/>
        <v>149.31676367501996</v>
      </c>
      <c r="I19" s="6">
        <f t="shared" si="1"/>
        <v>225.98725068462363</v>
      </c>
      <c r="J19" s="6">
        <f t="shared" si="1"/>
        <v>308.29889278316455</v>
      </c>
      <c r="K19" s="6">
        <f t="shared" si="1"/>
        <v>449.39741425193904</v>
      </c>
      <c r="L19" s="6"/>
      <c r="M19" s="6"/>
      <c r="N19" s="6"/>
    </row>
    <row r="20" spans="1:14" ht="15" x14ac:dyDescent="0.25">
      <c r="A20" t="s">
        <v>12</v>
      </c>
      <c r="D20" s="6">
        <f>+D19/(1+$E$7)^1</f>
        <v>-24.771807553957075</v>
      </c>
      <c r="E20" s="6">
        <f>+E19/(1+$E$7)^(E16-$D$16+1)</f>
        <v>24.479529236323167</v>
      </c>
      <c r="F20" s="6">
        <f t="shared" ref="F20:J20" si="2">+F19/(1+$E$7)^(F16-$D$16+1)</f>
        <v>39.34883194060648</v>
      </c>
      <c r="G20" s="6">
        <f t="shared" si="2"/>
        <v>64.567376759170287</v>
      </c>
      <c r="H20" s="6">
        <f t="shared" si="2"/>
        <v>87.818220414385124</v>
      </c>
      <c r="I20" s="6">
        <f t="shared" si="2"/>
        <v>119.52402650853092</v>
      </c>
      <c r="J20" s="6">
        <f t="shared" si="2"/>
        <v>146.63527375072925</v>
      </c>
      <c r="K20" s="6">
        <f>+K19/($E$7-$E$12)/(1+$E$7-$E$12)^(K16-$D$16+1)</f>
        <v>2917.4178155298191</v>
      </c>
      <c r="L20" s="6"/>
      <c r="M20" s="6"/>
      <c r="N20" s="6"/>
    </row>
    <row r="22" spans="1:14" ht="15" x14ac:dyDescent="0.25">
      <c r="A22" t="s">
        <v>0</v>
      </c>
      <c r="E22" s="7">
        <f>+SUM(D20:K20)</f>
        <v>3375.0192665856075</v>
      </c>
    </row>
    <row r="23" spans="1:14" ht="15" x14ac:dyDescent="0.25">
      <c r="A23" t="s">
        <v>9</v>
      </c>
      <c r="E23" s="3">
        <f>+E22/E10</f>
        <v>4.4466657003762942</v>
      </c>
    </row>
    <row r="25" spans="1:14" x14ac:dyDescent="0.35">
      <c r="A25" t="s">
        <v>97</v>
      </c>
    </row>
    <row r="27" spans="1:14" x14ac:dyDescent="0.35">
      <c r="A27" s="4" t="s">
        <v>105</v>
      </c>
    </row>
    <row r="28" spans="1:14" x14ac:dyDescent="0.35">
      <c r="A28" s="4" t="s">
        <v>100</v>
      </c>
    </row>
    <row r="29" spans="1:14" x14ac:dyDescent="0.35">
      <c r="D29">
        <v>2005</v>
      </c>
      <c r="E29">
        <f>+D$16+1</f>
        <v>2006</v>
      </c>
      <c r="F29">
        <f t="shared" ref="F29" si="3">+E$16+1</f>
        <v>2007</v>
      </c>
      <c r="G29">
        <f t="shared" ref="G29" si="4">+F$16+1</f>
        <v>2008</v>
      </c>
      <c r="H29">
        <f t="shared" ref="H29" si="5">+G$16+1</f>
        <v>2009</v>
      </c>
      <c r="I29">
        <f t="shared" ref="I29" si="6">+H$16+1</f>
        <v>2010</v>
      </c>
      <c r="J29">
        <f t="shared" ref="J29" si="7">+I$16+1</f>
        <v>2011</v>
      </c>
      <c r="K29">
        <f t="shared" ref="K29" si="8">+J$16+1</f>
        <v>2012</v>
      </c>
    </row>
    <row r="30" spans="1:14" x14ac:dyDescent="0.35">
      <c r="A30" t="s">
        <v>98</v>
      </c>
      <c r="D30" s="6">
        <f>+'Basic data + Projections'!K14</f>
        <v>419.18749999999977</v>
      </c>
      <c r="E30" s="6">
        <f>+'Basic data + Projections'!L14</f>
        <v>482.904</v>
      </c>
      <c r="F30" s="6">
        <f>+'Basic data + Projections'!M14</f>
        <v>547.03365119999989</v>
      </c>
      <c r="G30" s="6">
        <f>+'Basic data + Projections'!N14</f>
        <v>615.52226433023998</v>
      </c>
      <c r="H30" s="6">
        <f>+'Basic data + Projections'!O14</f>
        <v>680.64451989637973</v>
      </c>
      <c r="I30" s="6">
        <f>+'Basic data + Projections'!P14</f>
        <v>747.0754250382663</v>
      </c>
      <c r="J30" s="6">
        <f>+'Basic data + Projections'!Q14</f>
        <v>805.34730819125116</v>
      </c>
      <c r="K30" s="6">
        <f>+'Basic data + Projections'!R14</f>
        <v>905.74879357051623</v>
      </c>
    </row>
    <row r="31" spans="1:14" x14ac:dyDescent="0.35">
      <c r="A31" t="s">
        <v>39</v>
      </c>
      <c r="D31" s="6">
        <f>+'Basic data + Projections'!K35*D30</f>
        <v>37.726874999999978</v>
      </c>
      <c r="E31" s="6">
        <f>+'Basic data + Projections'!L35*E30</f>
        <v>43.461359999999999</v>
      </c>
      <c r="F31" s="6">
        <f>+'Basic data + Projections'!M35*F30</f>
        <v>49.233028607999991</v>
      </c>
      <c r="G31" s="6">
        <f>+'Basic data + Projections'!N35*G30</f>
        <v>55.397003789721595</v>
      </c>
      <c r="H31" s="6">
        <f>+'Basic data + Projections'!O35*H30</f>
        <v>61.258006790674173</v>
      </c>
      <c r="I31" s="6">
        <f>+'Basic data + Projections'!P35*I30</f>
        <v>67.236788253443962</v>
      </c>
      <c r="J31" s="6">
        <f>+'Basic data + Projections'!Q35*J30</f>
        <v>72.481257737212601</v>
      </c>
      <c r="K31" s="6">
        <f>+'Basic data + Projections'!R35*K30</f>
        <v>81.51739142134646</v>
      </c>
    </row>
    <row r="32" spans="1:14" x14ac:dyDescent="0.35">
      <c r="A32" t="s">
        <v>107</v>
      </c>
      <c r="D32" s="6">
        <f>+D30-D31</f>
        <v>381.46062499999982</v>
      </c>
      <c r="E32" s="6">
        <f t="shared" ref="E32:K32" si="9">+E30-E31</f>
        <v>439.44263999999998</v>
      </c>
      <c r="F32" s="6">
        <f t="shared" si="9"/>
        <v>497.80062259199991</v>
      </c>
      <c r="G32" s="6">
        <f t="shared" si="9"/>
        <v>560.12526054051841</v>
      </c>
      <c r="H32" s="6">
        <f t="shared" si="9"/>
        <v>619.3865131057056</v>
      </c>
      <c r="I32" s="6">
        <f t="shared" si="9"/>
        <v>679.83863678482237</v>
      </c>
      <c r="J32" s="6">
        <f t="shared" si="9"/>
        <v>732.8660504540386</v>
      </c>
      <c r="K32" s="6">
        <f t="shared" si="9"/>
        <v>824.23140214916975</v>
      </c>
    </row>
    <row r="33" spans="1:14" x14ac:dyDescent="0.35">
      <c r="A33" t="s">
        <v>5</v>
      </c>
      <c r="D33" s="6">
        <f>+'Basic data + Projections'!K62</f>
        <v>-468</v>
      </c>
      <c r="E33" s="6">
        <f>+'Basic data + Projections'!L62</f>
        <v>-468.00000000000006</v>
      </c>
      <c r="F33" s="6">
        <f>+'Basic data + Projections'!M62</f>
        <v>-505.43999999999994</v>
      </c>
      <c r="G33" s="6">
        <f>+'Basic data + Projections'!N62</f>
        <v>-530.15039999999999</v>
      </c>
      <c r="H33" s="6">
        <f>+'Basic data + Projections'!O62</f>
        <v>-538.10265600000002</v>
      </c>
      <c r="I33" s="6">
        <f>+'Basic data + Projections'!P62</f>
        <v>-525.80316672000004</v>
      </c>
      <c r="J33" s="6">
        <f>+'Basic data + Projections'!Q62</f>
        <v>-490.74962227200012</v>
      </c>
      <c r="K33" s="6">
        <f>+'Basic data + Projections'!R62</f>
        <v>-431.85966759936014</v>
      </c>
    </row>
    <row r="34" spans="1:14" x14ac:dyDescent="0.35">
      <c r="A34" t="s">
        <v>6</v>
      </c>
      <c r="D34" s="6">
        <f>+D32+D33</f>
        <v>-86.539375000000177</v>
      </c>
      <c r="E34" s="6">
        <f t="shared" ref="E34:K34" si="10">+E32+E33</f>
        <v>-28.557360000000074</v>
      </c>
      <c r="F34" s="6">
        <f t="shared" si="10"/>
        <v>-7.6393774080000298</v>
      </c>
      <c r="G34" s="6">
        <f t="shared" si="10"/>
        <v>29.974860540518421</v>
      </c>
      <c r="H34" s="6">
        <f t="shared" si="10"/>
        <v>81.283857105705579</v>
      </c>
      <c r="I34" s="6">
        <f t="shared" si="10"/>
        <v>154.03547006482233</v>
      </c>
      <c r="J34" s="6">
        <f t="shared" si="10"/>
        <v>242.11642818203848</v>
      </c>
      <c r="K34" s="6">
        <f t="shared" si="10"/>
        <v>392.37173454980962</v>
      </c>
    </row>
    <row r="35" spans="1:14" x14ac:dyDescent="0.35">
      <c r="A35" t="s">
        <v>12</v>
      </c>
      <c r="D35" s="6">
        <f>+D34/(1+$E$7)^1</f>
        <v>-77.823178956834681</v>
      </c>
      <c r="E35" s="6">
        <f>+E34/(1+$E$7)^(E29-$D$16+1)</f>
        <v>-23.09449562652042</v>
      </c>
      <c r="F35" s="6">
        <f t="shared" ref="F35:J35" si="11">+F34/(1+$E$7)^(F29-$D$16+1)</f>
        <v>-5.5557616326068784</v>
      </c>
      <c r="G35" s="6">
        <f t="shared" si="11"/>
        <v>19.603698845967056</v>
      </c>
      <c r="H35" s="6">
        <f t="shared" si="11"/>
        <v>47.805775478607075</v>
      </c>
      <c r="I35" s="6">
        <f t="shared" si="11"/>
        <v>81.46893044411263</v>
      </c>
      <c r="J35" s="6">
        <f t="shared" si="11"/>
        <v>115.15710745997436</v>
      </c>
      <c r="K35" s="6">
        <f>+K34/($E$7-$E$12)/(1+$E$7)^(K29-$D$16+1)</f>
        <v>2046.659350821529</v>
      </c>
    </row>
    <row r="37" spans="1:14" x14ac:dyDescent="0.35">
      <c r="A37" t="s">
        <v>109</v>
      </c>
      <c r="E37" s="7">
        <f>+SUM(D35:K35)-J5</f>
        <v>2384.2214268342282</v>
      </c>
    </row>
    <row r="38" spans="1:14" x14ac:dyDescent="0.35">
      <c r="A38" t="s">
        <v>108</v>
      </c>
      <c r="E38" s="7">
        <f>+J5</f>
        <v>-180</v>
      </c>
    </row>
    <row r="39" spans="1:14" x14ac:dyDescent="0.35">
      <c r="A39" t="s">
        <v>110</v>
      </c>
      <c r="E39" s="7">
        <f>+E37-E38</f>
        <v>2564.2214268342282</v>
      </c>
    </row>
    <row r="40" spans="1:14" x14ac:dyDescent="0.35">
      <c r="A40" t="s">
        <v>9</v>
      </c>
      <c r="E40" s="3">
        <f>+E39/E10</f>
        <v>3.3784208522190093</v>
      </c>
    </row>
    <row r="42" spans="1:14" x14ac:dyDescent="0.35">
      <c r="A42" t="s">
        <v>97</v>
      </c>
    </row>
    <row r="44" spans="1:14" x14ac:dyDescent="0.35">
      <c r="A44" s="4" t="s">
        <v>106</v>
      </c>
    </row>
    <row r="45" spans="1:14" x14ac:dyDescent="0.35">
      <c r="A45" s="4" t="s">
        <v>17</v>
      </c>
    </row>
    <row r="46" spans="1:14" ht="15" x14ac:dyDescent="0.25">
      <c r="A46" t="s">
        <v>15</v>
      </c>
      <c r="D46" s="6">
        <f>+'Basic data + Projections'!K24</f>
        <v>245.18812499999979</v>
      </c>
      <c r="E46" s="6">
        <f>+'Basic data + Projections'!L24</f>
        <v>279.73764</v>
      </c>
      <c r="F46" s="6">
        <f>+'Basic data + Projections'!M24</f>
        <v>312.78852259199988</v>
      </c>
      <c r="G46" s="6">
        <f>+'Basic data + Projections'!N24</f>
        <v>348.56882454051839</v>
      </c>
      <c r="H46" s="6">
        <f>+'Basic data + Projections'!O24</f>
        <v>380.88757606570556</v>
      </c>
      <c r="I46" s="6">
        <f>+'Basic data + Projections'!P24</f>
        <v>415.01302730002226</v>
      </c>
      <c r="J46" s="6">
        <f>+'Basic data + Projections'!Q24</f>
        <v>443.46888002075843</v>
      </c>
      <c r="K46" s="6">
        <f t="shared" ref="K46" si="12">+J46*(1+$E$3-($E$11*(K16-$D$16)))</f>
        <v>483.38107922262662</v>
      </c>
      <c r="L46" s="6"/>
      <c r="M46" s="6"/>
      <c r="N46" s="6"/>
    </row>
    <row r="47" spans="1:14" ht="15" x14ac:dyDescent="0.25">
      <c r="A47" t="s">
        <v>4</v>
      </c>
      <c r="D47" s="6">
        <f>+'Basic data + Projections'!K26</f>
        <v>82.228124999999778</v>
      </c>
      <c r="E47" s="6">
        <f>+'Basic data + Projections'!L26</f>
        <v>89.316570000000041</v>
      </c>
      <c r="F47" s="6">
        <f>+'Basic data + Projections'!M26</f>
        <v>91.036836911999899</v>
      </c>
      <c r="G47" s="6">
        <f>+'Basic data + Projections'!N26</f>
        <v>91.784824330214406</v>
      </c>
      <c r="H47" s="6">
        <f>+'Basic data + Projections'!O26</f>
        <v>85.063867506863517</v>
      </c>
      <c r="I47" s="6">
        <f>+'Basic data + Projections'!P26</f>
        <v>76.529910221821183</v>
      </c>
      <c r="J47" s="6">
        <f>+'Basic data + Projections'!Q26</f>
        <v>58.504303884954879</v>
      </c>
      <c r="K47" s="6">
        <f>+'Basic data + Projections'!R26</f>
        <v>78.57816738309873</v>
      </c>
      <c r="L47" s="6"/>
      <c r="M47" s="6"/>
      <c r="N47" s="6"/>
    </row>
    <row r="48" spans="1:14" ht="15" x14ac:dyDescent="0.25">
      <c r="A48" t="s">
        <v>11</v>
      </c>
      <c r="D48" s="6">
        <f>+D47/(1+$E$7)^1</f>
        <v>73.946155575539365</v>
      </c>
      <c r="E48" s="6">
        <f>+E47/(1+$E$7)^(E16-$D$16+1)</f>
        <v>72.230806182392229</v>
      </c>
      <c r="F48" s="6">
        <f t="shared" ref="F48:J48" si="13">+F47/(1+$E$7)^(F16-$D$16+1)</f>
        <v>66.206830564480569</v>
      </c>
      <c r="G48" s="6">
        <f t="shared" si="13"/>
        <v>60.027703961033794</v>
      </c>
      <c r="H48" s="6">
        <f t="shared" si="13"/>
        <v>50.028926974845206</v>
      </c>
      <c r="I48" s="6">
        <f t="shared" si="13"/>
        <v>40.476456040494803</v>
      </c>
      <c r="J48" s="6">
        <f t="shared" si="13"/>
        <v>27.826225836626421</v>
      </c>
      <c r="K48" s="6">
        <f>+K47/($E$7-$E$12)/(1+$E$7)^(K16-$D$16+1)</f>
        <v>409.87341055430346</v>
      </c>
      <c r="L48" s="6"/>
      <c r="M48" s="6"/>
      <c r="N48" s="6"/>
    </row>
    <row r="49" spans="1:14" ht="15" x14ac:dyDescent="0.25">
      <c r="A49" t="s">
        <v>13</v>
      </c>
      <c r="D49" s="6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</row>
    <row r="50" spans="1:14" ht="15" x14ac:dyDescent="0.25">
      <c r="A50" t="s">
        <v>14</v>
      </c>
      <c r="D50" s="6">
        <f>+J2+D46-D49</f>
        <v>1700.1881249999997</v>
      </c>
      <c r="E50" s="6">
        <f>+D50+E46-E49</f>
        <v>1979.9257649999997</v>
      </c>
      <c r="F50" s="6">
        <f t="shared" ref="F50:K50" si="14">+E50+F46-F49</f>
        <v>2292.7142875919994</v>
      </c>
      <c r="G50" s="6">
        <f t="shared" si="14"/>
        <v>2641.283112132518</v>
      </c>
      <c r="H50" s="6">
        <f t="shared" si="14"/>
        <v>3022.1706881982236</v>
      </c>
      <c r="I50" s="6">
        <f t="shared" si="14"/>
        <v>3437.1837154982459</v>
      </c>
      <c r="J50" s="6">
        <f t="shared" si="14"/>
        <v>3880.6525955190045</v>
      </c>
      <c r="K50" s="6">
        <f t="shared" si="14"/>
        <v>4364.0336747416313</v>
      </c>
      <c r="L50" s="6"/>
      <c r="M50" s="6"/>
      <c r="N50" s="6"/>
    </row>
    <row r="52" spans="1:14" ht="15" x14ac:dyDescent="0.25">
      <c r="A52" t="s">
        <v>110</v>
      </c>
      <c r="E52" s="7">
        <f>(+J2)+SUM(D48:N48)</f>
        <v>2255.6165156897159</v>
      </c>
    </row>
    <row r="53" spans="1:14" ht="15" x14ac:dyDescent="0.25">
      <c r="A53" t="s">
        <v>9</v>
      </c>
      <c r="E53" s="3">
        <f>+E52/E10</f>
        <v>2.9718267663896127</v>
      </c>
    </row>
    <row r="55" spans="1:14" ht="15" x14ac:dyDescent="0.25">
      <c r="A55" s="4" t="s">
        <v>105</v>
      </c>
    </row>
    <row r="56" spans="1:14" x14ac:dyDescent="0.35">
      <c r="A56" s="4" t="s">
        <v>18</v>
      </c>
    </row>
    <row r="58" spans="1:14" x14ac:dyDescent="0.35">
      <c r="A58" t="s">
        <v>20</v>
      </c>
      <c r="D58" s="6">
        <f>+'Basic data + Projections'!K25</f>
        <v>264.2981249999998</v>
      </c>
      <c r="E58" s="6">
        <f>+'Basic data + Projections'!L25</f>
        <v>298.84764000000001</v>
      </c>
      <c r="F58" s="6">
        <f>+'Basic data + Projections'!M25</f>
        <v>331.89852259199989</v>
      </c>
      <c r="G58" s="6">
        <f>+'Basic data + Projections'!N25</f>
        <v>367.67882454051841</v>
      </c>
      <c r="H58" s="6">
        <f>+'Basic data + Projections'!O25</f>
        <v>399.99757606570557</v>
      </c>
      <c r="I58" s="6">
        <f>+'Basic data + Projections'!P25</f>
        <v>434.12302730002227</v>
      </c>
      <c r="J58" s="6">
        <f>+'Basic data + Projections'!Q25</f>
        <v>462.57888002075845</v>
      </c>
      <c r="K58" s="6">
        <f>+'Basic data + Projections'!R25</f>
        <v>532.32125808122726</v>
      </c>
      <c r="L58" s="6"/>
      <c r="M58" s="6"/>
      <c r="N58" s="6"/>
    </row>
    <row r="59" spans="1:14" x14ac:dyDescent="0.35">
      <c r="A59" t="s">
        <v>101</v>
      </c>
      <c r="D59" s="6">
        <f>+J2*$E$7</f>
        <v>162.96</v>
      </c>
      <c r="E59" s="6">
        <f>+D62*$E$7</f>
        <v>192.56138999999999</v>
      </c>
      <c r="F59" s="6">
        <f t="shared" ref="F59:K59" si="15">+E62*$E$7</f>
        <v>222.16277999999997</v>
      </c>
      <c r="G59" s="6">
        <f t="shared" si="15"/>
        <v>255.63371567999997</v>
      </c>
      <c r="H59" s="6">
        <f t="shared" si="15"/>
        <v>292.80635021030395</v>
      </c>
      <c r="I59" s="6">
        <f t="shared" si="15"/>
        <v>333.98637855884203</v>
      </c>
      <c r="J59" s="6">
        <f t="shared" si="15"/>
        <v>378.78610707820104</v>
      </c>
      <c r="K59" s="6">
        <f t="shared" si="15"/>
        <v>427.40788613580355</v>
      </c>
      <c r="L59" s="6"/>
      <c r="M59" s="6"/>
      <c r="N59" s="6"/>
    </row>
    <row r="60" spans="1:14" x14ac:dyDescent="0.35">
      <c r="A60" t="s">
        <v>102</v>
      </c>
      <c r="D60" s="6">
        <f>+D58-D59</f>
        <v>101.33812499999979</v>
      </c>
      <c r="E60" s="6">
        <f t="shared" ref="E60:K60" si="16">+E58-E59</f>
        <v>106.28625000000002</v>
      </c>
      <c r="F60" s="6">
        <f t="shared" si="16"/>
        <v>109.73574259199992</v>
      </c>
      <c r="G60" s="6">
        <f t="shared" si="16"/>
        <v>112.04510886051844</v>
      </c>
      <c r="H60" s="6">
        <f t="shared" si="16"/>
        <v>107.19122585540163</v>
      </c>
      <c r="I60" s="6">
        <f t="shared" si="16"/>
        <v>100.13664874118024</v>
      </c>
      <c r="J60" s="6">
        <f t="shared" si="16"/>
        <v>83.792772942557406</v>
      </c>
      <c r="K60" s="6">
        <f t="shared" si="16"/>
        <v>104.91337194542371</v>
      </c>
      <c r="L60" s="6"/>
      <c r="M60" s="6"/>
      <c r="N60" s="6"/>
    </row>
    <row r="61" spans="1:14" x14ac:dyDescent="0.35">
      <c r="A61" t="s">
        <v>103</v>
      </c>
      <c r="D61" s="6">
        <f>+D60/(1+$E$7)^(D16-$D$16+1)</f>
        <v>91.131407374100519</v>
      </c>
      <c r="E61" s="6">
        <f t="shared" ref="E61:J61" si="17">+E60/(1+$E$7)^(E16-$D$16+1)</f>
        <v>85.954280640236007</v>
      </c>
      <c r="F61" s="6">
        <f t="shared" si="17"/>
        <v>79.805669475081814</v>
      </c>
      <c r="G61" s="6">
        <f t="shared" si="17"/>
        <v>73.278024706606686</v>
      </c>
      <c r="H61" s="6">
        <f t="shared" si="17"/>
        <v>63.042772070424988</v>
      </c>
      <c r="I61" s="6">
        <f t="shared" si="17"/>
        <v>52.961994193731037</v>
      </c>
      <c r="J61" s="6">
        <f t="shared" si="17"/>
        <v>39.854104203372493</v>
      </c>
      <c r="K61" s="6">
        <f>+K60/($E$7-$E$12)/(1+$E$7)^(K16-$D$16+1)</f>
        <v>547.2410849488972</v>
      </c>
      <c r="L61" s="6"/>
      <c r="M61" s="6"/>
      <c r="N61" s="6"/>
    </row>
    <row r="62" spans="1:14" x14ac:dyDescent="0.35">
      <c r="A62" t="s">
        <v>14</v>
      </c>
      <c r="D62" s="6">
        <f>+J2+D58</f>
        <v>1719.2981249999998</v>
      </c>
      <c r="E62" s="6">
        <f>+D62+D58</f>
        <v>1983.5962499999996</v>
      </c>
      <c r="F62" s="6">
        <f t="shared" ref="F62:J62" si="18">+E62+E58</f>
        <v>2282.4438899999996</v>
      </c>
      <c r="G62" s="6">
        <f t="shared" si="18"/>
        <v>2614.3424125919996</v>
      </c>
      <c r="H62" s="6">
        <f t="shared" si="18"/>
        <v>2982.0212371325179</v>
      </c>
      <c r="I62" s="6">
        <f t="shared" si="18"/>
        <v>3382.0188131982236</v>
      </c>
      <c r="J62" s="6">
        <f t="shared" si="18"/>
        <v>3816.141840498246</v>
      </c>
      <c r="K62" s="6"/>
      <c r="L62" s="6"/>
      <c r="M62" s="6"/>
      <c r="N62" s="6"/>
    </row>
    <row r="64" spans="1:14" x14ac:dyDescent="0.35">
      <c r="A64" t="s">
        <v>109</v>
      </c>
      <c r="E64" s="7">
        <f>+J2+SUM(D61:J61)+K61</f>
        <v>2488.2693376124507</v>
      </c>
    </row>
    <row r="65" spans="1:5" x14ac:dyDescent="0.35">
      <c r="A65" t="s">
        <v>22</v>
      </c>
      <c r="E65" s="9">
        <f>J5</f>
        <v>-180</v>
      </c>
    </row>
    <row r="66" spans="1:5" x14ac:dyDescent="0.35">
      <c r="A66" t="s">
        <v>23</v>
      </c>
      <c r="E66" s="9">
        <f>+E64-E65</f>
        <v>2668.2693376124507</v>
      </c>
    </row>
    <row r="67" spans="1:5" x14ac:dyDescent="0.35">
      <c r="A67" t="s">
        <v>9</v>
      </c>
      <c r="E67" s="10">
        <f>+E66/E10</f>
        <v>3.5155063736659429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C24" workbookViewId="0">
      <selection activeCell="K35" sqref="K35"/>
    </sheetView>
  </sheetViews>
  <sheetFormatPr defaultRowHeight="14.5" x14ac:dyDescent="0.35"/>
  <cols>
    <col min="3" max="3" width="24.81640625" customWidth="1"/>
    <col min="4" max="4" width="11.81640625" customWidth="1"/>
    <col min="5" max="5" width="9.26953125" bestFit="1" customWidth="1"/>
    <col min="6" max="7" width="9.54296875" bestFit="1" customWidth="1"/>
    <col min="11" max="18" width="9.54296875" style="16" bestFit="1" customWidth="1"/>
  </cols>
  <sheetData>
    <row r="1" spans="1:18" x14ac:dyDescent="0.25">
      <c r="A1" s="4" t="s">
        <v>41</v>
      </c>
    </row>
    <row r="2" spans="1:18" x14ac:dyDescent="0.25">
      <c r="A2" s="4" t="s">
        <v>42</v>
      </c>
      <c r="K2" s="21" t="s">
        <v>83</v>
      </c>
      <c r="L2" s="21"/>
      <c r="M2" s="21"/>
      <c r="N2" s="21"/>
      <c r="O2" s="21"/>
      <c r="P2" s="21"/>
      <c r="Q2" s="21"/>
      <c r="R2" s="21"/>
    </row>
    <row r="3" spans="1:18" x14ac:dyDescent="0.25">
      <c r="E3">
        <v>2002</v>
      </c>
      <c r="F3">
        <v>2003</v>
      </c>
      <c r="G3">
        <v>2004</v>
      </c>
      <c r="H3">
        <v>2002</v>
      </c>
      <c r="I3">
        <v>2003</v>
      </c>
      <c r="J3">
        <v>2004</v>
      </c>
      <c r="K3" s="16">
        <v>2005</v>
      </c>
      <c r="L3" s="16">
        <v>2006</v>
      </c>
      <c r="M3" s="16">
        <v>2007</v>
      </c>
      <c r="N3" s="16">
        <v>2008</v>
      </c>
      <c r="O3" s="16">
        <v>2009</v>
      </c>
      <c r="P3" s="16">
        <v>2010</v>
      </c>
      <c r="Q3" s="16">
        <v>2011</v>
      </c>
      <c r="R3" s="16">
        <v>2012</v>
      </c>
    </row>
    <row r="5" spans="1:18" x14ac:dyDescent="0.25">
      <c r="A5" t="s">
        <v>26</v>
      </c>
    </row>
    <row r="6" spans="1:18" x14ac:dyDescent="0.25">
      <c r="A6" t="s">
        <v>27</v>
      </c>
      <c r="E6" s="6">
        <v>551</v>
      </c>
      <c r="F6" s="6">
        <v>732</v>
      </c>
      <c r="G6" s="6">
        <v>925</v>
      </c>
      <c r="H6" s="12">
        <f>+E6/$E$8</f>
        <v>0.88301282051282048</v>
      </c>
      <c r="I6" s="12">
        <f>+F6/$F$8</f>
        <v>0.8683274021352313</v>
      </c>
      <c r="J6" s="12">
        <f>+G6/$G$8</f>
        <v>0.86046511627906974</v>
      </c>
    </row>
    <row r="7" spans="1:18" x14ac:dyDescent="0.25">
      <c r="A7" t="s">
        <v>28</v>
      </c>
      <c r="E7" s="6">
        <v>73</v>
      </c>
      <c r="F7" s="6">
        <v>111</v>
      </c>
      <c r="G7" s="6">
        <v>150</v>
      </c>
      <c r="H7" s="12">
        <f t="shared" ref="H7:H24" si="0">+E7/$E$8</f>
        <v>0.11698717948717949</v>
      </c>
      <c r="I7" s="12">
        <f t="shared" ref="I7:I24" si="1">+F7/$F$8</f>
        <v>0.13167259786476868</v>
      </c>
      <c r="J7" s="12">
        <f t="shared" ref="J7:J24" si="2">+G7/$G$8</f>
        <v>0.13953488372093023</v>
      </c>
    </row>
    <row r="8" spans="1:18" x14ac:dyDescent="0.25">
      <c r="E8" s="6">
        <f>+SUM(E6:E7)</f>
        <v>624</v>
      </c>
      <c r="F8" s="6">
        <f>+SUM(F6:F7)</f>
        <v>843</v>
      </c>
      <c r="G8" s="6">
        <f>+SUM(G6:G7)</f>
        <v>1075</v>
      </c>
      <c r="H8" s="12">
        <f t="shared" si="0"/>
        <v>1</v>
      </c>
      <c r="I8" s="12">
        <f t="shared" si="1"/>
        <v>1</v>
      </c>
      <c r="J8" s="12">
        <f t="shared" si="2"/>
        <v>1</v>
      </c>
      <c r="K8" s="17">
        <f>+K29*K30</f>
        <v>1276.5624999999998</v>
      </c>
      <c r="L8" s="17">
        <f t="shared" ref="L8:R8" si="3">+L29*L30</f>
        <v>1470.6</v>
      </c>
      <c r="M8" s="17">
        <f t="shared" si="3"/>
        <v>1665.8956799999996</v>
      </c>
      <c r="N8" s="17">
        <f t="shared" si="3"/>
        <v>1874.4658191359995</v>
      </c>
      <c r="O8" s="17">
        <f t="shared" si="3"/>
        <v>2072.7843028005886</v>
      </c>
      <c r="P8" s="17">
        <f t="shared" si="3"/>
        <v>2275.0880507539264</v>
      </c>
      <c r="Q8" s="17">
        <f t="shared" si="3"/>
        <v>2452.5449187127329</v>
      </c>
      <c r="R8" s="17">
        <f t="shared" si="3"/>
        <v>2595.7735419655564</v>
      </c>
    </row>
    <row r="9" spans="1:18" x14ac:dyDescent="0.25">
      <c r="A9" t="s">
        <v>29</v>
      </c>
      <c r="E9" s="6"/>
      <c r="F9" s="6"/>
      <c r="G9" s="6"/>
      <c r="H9" s="12"/>
      <c r="I9" s="12"/>
      <c r="J9" s="12"/>
      <c r="K9" s="17"/>
      <c r="L9" s="17"/>
      <c r="M9" s="17"/>
      <c r="N9" s="17"/>
      <c r="O9" s="17"/>
      <c r="P9" s="17"/>
      <c r="Q9" s="17"/>
      <c r="R9" s="17"/>
    </row>
    <row r="10" spans="1:18" x14ac:dyDescent="0.25">
      <c r="A10" t="s">
        <v>30</v>
      </c>
      <c r="E10" s="6">
        <v>78</v>
      </c>
      <c r="F10" s="6">
        <v>93</v>
      </c>
      <c r="G10" s="6">
        <v>124</v>
      </c>
      <c r="H10" s="12">
        <f t="shared" si="0"/>
        <v>0.125</v>
      </c>
      <c r="I10" s="12">
        <f t="shared" si="1"/>
        <v>0.1103202846975089</v>
      </c>
      <c r="J10" s="12">
        <f t="shared" si="2"/>
        <v>0.11534883720930232</v>
      </c>
      <c r="K10" s="17"/>
      <c r="L10" s="17"/>
      <c r="M10" s="17"/>
      <c r="N10" s="17"/>
      <c r="O10" s="17"/>
      <c r="P10" s="17"/>
      <c r="Q10" s="17"/>
      <c r="R10" s="17"/>
    </row>
    <row r="11" spans="1:18" x14ac:dyDescent="0.25">
      <c r="A11" t="s">
        <v>31</v>
      </c>
      <c r="E11" s="6">
        <v>324</v>
      </c>
      <c r="F11" s="6">
        <v>409</v>
      </c>
      <c r="G11" s="6">
        <v>598</v>
      </c>
      <c r="H11" s="12">
        <f t="shared" si="0"/>
        <v>0.51923076923076927</v>
      </c>
      <c r="I11" s="12">
        <f t="shared" si="1"/>
        <v>0.48517200474495847</v>
      </c>
      <c r="J11" s="12">
        <f t="shared" si="2"/>
        <v>0.5562790697674419</v>
      </c>
      <c r="K11" s="17"/>
      <c r="L11" s="17"/>
      <c r="M11" s="17"/>
      <c r="N11" s="17"/>
      <c r="O11" s="17"/>
      <c r="P11" s="17"/>
      <c r="Q11" s="17"/>
      <c r="R11" s="17"/>
    </row>
    <row r="12" spans="1:18" x14ac:dyDescent="0.25">
      <c r="E12" s="6">
        <f>+SUM(E10:E11)</f>
        <v>402</v>
      </c>
      <c r="F12" s="6">
        <f>+SUM(F10:F11)</f>
        <v>502</v>
      </c>
      <c r="G12" s="6">
        <f>+SUM(G10:G11)</f>
        <v>722</v>
      </c>
      <c r="H12" s="12">
        <f t="shared" si="0"/>
        <v>0.64423076923076927</v>
      </c>
      <c r="I12" s="12">
        <f t="shared" si="1"/>
        <v>0.59549228944246735</v>
      </c>
      <c r="J12" s="12">
        <f t="shared" si="2"/>
        <v>0.67162790697674424</v>
      </c>
      <c r="K12" s="17">
        <f>+K29*K34</f>
        <v>857.375</v>
      </c>
      <c r="L12" s="17">
        <f t="shared" ref="L12:R12" si="4">+L29*L34</f>
        <v>987.69599999999991</v>
      </c>
      <c r="M12" s="17">
        <f t="shared" si="4"/>
        <v>1118.8620287999997</v>
      </c>
      <c r="N12" s="17">
        <f t="shared" si="4"/>
        <v>1258.9435548057595</v>
      </c>
      <c r="O12" s="17">
        <f t="shared" si="4"/>
        <v>1392.1397829042089</v>
      </c>
      <c r="P12" s="17">
        <f t="shared" si="4"/>
        <v>1528.0126257156601</v>
      </c>
      <c r="Q12" s="17">
        <f t="shared" si="4"/>
        <v>1647.1976105214817</v>
      </c>
      <c r="R12" s="17">
        <f t="shared" si="4"/>
        <v>1690.0247483950402</v>
      </c>
    </row>
    <row r="13" spans="1:18" x14ac:dyDescent="0.25">
      <c r="E13" s="6"/>
      <c r="F13" s="6"/>
      <c r="G13" s="6"/>
      <c r="H13" s="12"/>
      <c r="I13" s="12"/>
      <c r="J13" s="12"/>
    </row>
    <row r="14" spans="1:18" x14ac:dyDescent="0.25">
      <c r="A14" t="s">
        <v>32</v>
      </c>
      <c r="E14" s="6">
        <f>+E8-E12</f>
        <v>222</v>
      </c>
      <c r="F14" s="6">
        <f>+F8-F12</f>
        <v>341</v>
      </c>
      <c r="G14" s="6">
        <f>+G8-G12</f>
        <v>353</v>
      </c>
      <c r="H14" s="12">
        <f t="shared" si="0"/>
        <v>0.35576923076923078</v>
      </c>
      <c r="I14" s="12">
        <f t="shared" si="1"/>
        <v>0.4045077105575326</v>
      </c>
      <c r="J14" s="12">
        <f t="shared" si="2"/>
        <v>0.32837209302325582</v>
      </c>
      <c r="K14" s="18">
        <f>+K8-K12</f>
        <v>419.18749999999977</v>
      </c>
      <c r="L14" s="18">
        <f t="shared" ref="L14:R14" si="5">+L8-L12</f>
        <v>482.904</v>
      </c>
      <c r="M14" s="18">
        <f t="shared" si="5"/>
        <v>547.03365119999989</v>
      </c>
      <c r="N14" s="18">
        <f t="shared" si="5"/>
        <v>615.52226433023998</v>
      </c>
      <c r="O14" s="18">
        <f t="shared" si="5"/>
        <v>680.64451989637973</v>
      </c>
      <c r="P14" s="18">
        <f t="shared" si="5"/>
        <v>747.0754250382663</v>
      </c>
      <c r="Q14" s="18">
        <f t="shared" si="5"/>
        <v>805.34730819125116</v>
      </c>
      <c r="R14" s="18">
        <f t="shared" si="5"/>
        <v>905.74879357051623</v>
      </c>
    </row>
    <row r="15" spans="1:18" x14ac:dyDescent="0.25">
      <c r="A15" t="s">
        <v>33</v>
      </c>
      <c r="E15" s="6">
        <v>59</v>
      </c>
      <c r="F15" s="6">
        <v>77</v>
      </c>
      <c r="G15" s="6">
        <f>101+2</f>
        <v>103</v>
      </c>
      <c r="H15" s="12">
        <f t="shared" si="0"/>
        <v>9.4551282051282048E-2</v>
      </c>
      <c r="I15" s="12">
        <f t="shared" si="1"/>
        <v>9.1340450771055751E-2</v>
      </c>
      <c r="J15" s="12">
        <f t="shared" si="2"/>
        <v>9.5813953488372086E-2</v>
      </c>
      <c r="K15" s="18">
        <f>+G15*(1+K33)</f>
        <v>128.75</v>
      </c>
      <c r="L15" s="18">
        <f>+K15*(1+L33)</f>
        <v>154.5</v>
      </c>
      <c r="M15" s="18">
        <f t="shared" ref="M15:R15" si="6">+L15*(1+M33)</f>
        <v>182.31</v>
      </c>
      <c r="N15" s="18">
        <f t="shared" si="6"/>
        <v>211.47959999999998</v>
      </c>
      <c r="O15" s="18">
        <f t="shared" si="6"/>
        <v>241.08674400000001</v>
      </c>
      <c r="P15" s="18">
        <f t="shared" si="6"/>
        <v>270.01715328000006</v>
      </c>
      <c r="Q15" s="18">
        <f t="shared" si="6"/>
        <v>297.0188686080001</v>
      </c>
      <c r="R15" s="18">
        <f t="shared" si="6"/>
        <v>320.78037809664011</v>
      </c>
    </row>
    <row r="16" spans="1:18" x14ac:dyDescent="0.25">
      <c r="A16" t="s">
        <v>31</v>
      </c>
      <c r="E16" s="6"/>
      <c r="F16" s="6"/>
      <c r="G16" s="6"/>
      <c r="H16" s="12"/>
      <c r="I16" s="12"/>
      <c r="J16" s="12"/>
    </row>
    <row r="17" spans="1:18" x14ac:dyDescent="0.25">
      <c r="B17" t="s">
        <v>34</v>
      </c>
      <c r="E17" s="6">
        <v>1</v>
      </c>
      <c r="F17" s="6">
        <v>1</v>
      </c>
      <c r="G17" s="6">
        <v>3</v>
      </c>
      <c r="H17" s="12">
        <f t="shared" si="0"/>
        <v>1.6025641025641025E-3</v>
      </c>
      <c r="I17" s="12">
        <f t="shared" si="1"/>
        <v>1.1862396204033216E-3</v>
      </c>
      <c r="J17" s="12">
        <f t="shared" si="2"/>
        <v>2.7906976744186047E-3</v>
      </c>
    </row>
    <row r="18" spans="1:18" x14ac:dyDescent="0.25">
      <c r="B18" t="s">
        <v>35</v>
      </c>
      <c r="E18" s="6">
        <v>1</v>
      </c>
      <c r="F18" s="6">
        <v>0</v>
      </c>
      <c r="G18" s="6">
        <v>0</v>
      </c>
      <c r="H18" s="12">
        <f t="shared" si="0"/>
        <v>1.6025641025641025E-3</v>
      </c>
      <c r="I18" s="12">
        <f t="shared" si="1"/>
        <v>0</v>
      </c>
      <c r="J18" s="12">
        <f t="shared" si="2"/>
        <v>0</v>
      </c>
    </row>
    <row r="19" spans="1:18" x14ac:dyDescent="0.25">
      <c r="B19" t="s">
        <v>36</v>
      </c>
      <c r="E19" s="6">
        <v>28</v>
      </c>
      <c r="F19" s="6">
        <v>31</v>
      </c>
      <c r="G19" s="6">
        <v>24</v>
      </c>
      <c r="H19" s="12">
        <f t="shared" si="0"/>
        <v>4.4871794871794872E-2</v>
      </c>
      <c r="I19" s="12">
        <f t="shared" si="1"/>
        <v>3.6773428232502965E-2</v>
      </c>
      <c r="J19" s="12">
        <f t="shared" si="2"/>
        <v>2.2325581395348838E-2</v>
      </c>
    </row>
    <row r="20" spans="1:18" x14ac:dyDescent="0.25">
      <c r="B20" t="s">
        <v>37</v>
      </c>
      <c r="E20" s="6">
        <v>-20</v>
      </c>
      <c r="F20" s="6">
        <v>-31</v>
      </c>
      <c r="G20" s="6">
        <v>-48</v>
      </c>
      <c r="H20" s="12">
        <f t="shared" si="0"/>
        <v>-3.2051282051282048E-2</v>
      </c>
      <c r="I20" s="12">
        <f t="shared" si="1"/>
        <v>-3.6773428232502965E-2</v>
      </c>
      <c r="J20" s="12">
        <f t="shared" si="2"/>
        <v>-4.4651162790697675E-2</v>
      </c>
    </row>
    <row r="21" spans="1:18" x14ac:dyDescent="0.25">
      <c r="E21" s="6">
        <f>+SUM(E17:E20)</f>
        <v>10</v>
      </c>
      <c r="F21" s="6">
        <f>+SUM(F17:F20)</f>
        <v>1</v>
      </c>
      <c r="G21" s="6">
        <f>+SUM(G17:G20)</f>
        <v>-21</v>
      </c>
      <c r="H21" s="12">
        <f t="shared" si="0"/>
        <v>1.6025641025641024E-2</v>
      </c>
      <c r="I21" s="12">
        <f t="shared" si="1"/>
        <v>1.1862396204033216E-3</v>
      </c>
      <c r="J21" s="12">
        <f t="shared" si="2"/>
        <v>-1.9534883720930232E-2</v>
      </c>
      <c r="K21" s="16">
        <v>-21</v>
      </c>
      <c r="L21" s="16">
        <v>-21</v>
      </c>
      <c r="M21" s="16">
        <v>-21</v>
      </c>
      <c r="N21" s="16">
        <v>-21</v>
      </c>
      <c r="O21" s="16">
        <v>-21</v>
      </c>
      <c r="P21" s="16">
        <v>-21</v>
      </c>
      <c r="Q21" s="16">
        <v>-21</v>
      </c>
      <c r="R21" s="16">
        <v>-21</v>
      </c>
    </row>
    <row r="22" spans="1:18" x14ac:dyDescent="0.25">
      <c r="A22" t="s">
        <v>38</v>
      </c>
      <c r="E22" s="6">
        <f>+E14-E15+E21</f>
        <v>173</v>
      </c>
      <c r="F22" s="6">
        <f>+F14-F15+F21</f>
        <v>265</v>
      </c>
      <c r="G22" s="6">
        <f>+G14-G15+G21</f>
        <v>229</v>
      </c>
      <c r="H22" s="12">
        <f t="shared" si="0"/>
        <v>0.27724358974358976</v>
      </c>
      <c r="I22" s="12">
        <f t="shared" si="1"/>
        <v>0.31435349940688018</v>
      </c>
      <c r="J22" s="12">
        <f t="shared" si="2"/>
        <v>0.21302325581395348</v>
      </c>
      <c r="K22" s="17">
        <f>+K14-K15+K21</f>
        <v>269.43749999999977</v>
      </c>
      <c r="L22" s="17">
        <f t="shared" ref="L22:R22" si="7">+L14-L15+L21</f>
        <v>307.404</v>
      </c>
      <c r="M22" s="17">
        <f t="shared" si="7"/>
        <v>343.72365119999989</v>
      </c>
      <c r="N22" s="17">
        <f t="shared" si="7"/>
        <v>383.04266433023997</v>
      </c>
      <c r="O22" s="17">
        <f t="shared" si="7"/>
        <v>418.55777589637972</v>
      </c>
      <c r="P22" s="17">
        <f t="shared" si="7"/>
        <v>456.05827175826624</v>
      </c>
      <c r="Q22" s="17">
        <f t="shared" si="7"/>
        <v>487.32843958325105</v>
      </c>
      <c r="R22" s="17">
        <f t="shared" si="7"/>
        <v>563.96841547387612</v>
      </c>
    </row>
    <row r="23" spans="1:18" x14ac:dyDescent="0.35">
      <c r="B23" t="s">
        <v>39</v>
      </c>
      <c r="E23" s="6">
        <v>22</v>
      </c>
      <c r="F23" s="6">
        <v>25</v>
      </c>
      <c r="G23" s="6">
        <v>22</v>
      </c>
      <c r="H23" s="12">
        <f t="shared" si="0"/>
        <v>3.5256410256410256E-2</v>
      </c>
      <c r="I23" s="12">
        <f t="shared" si="1"/>
        <v>2.9655990510083038E-2</v>
      </c>
      <c r="J23" s="12">
        <f t="shared" si="2"/>
        <v>2.0465116279069766E-2</v>
      </c>
      <c r="K23" s="17">
        <f>+K22*K35</f>
        <v>24.249374999999979</v>
      </c>
      <c r="L23" s="17">
        <f t="shared" ref="L23:R23" si="8">+L22*L35</f>
        <v>27.666359999999997</v>
      </c>
      <c r="M23" s="17">
        <f t="shared" si="8"/>
        <v>30.935128607999989</v>
      </c>
      <c r="N23" s="17">
        <f t="shared" si="8"/>
        <v>34.473839789721595</v>
      </c>
      <c r="O23" s="17">
        <f t="shared" si="8"/>
        <v>37.670199830674171</v>
      </c>
      <c r="P23" s="17">
        <f t="shared" si="8"/>
        <v>41.045244458243964</v>
      </c>
      <c r="Q23" s="17">
        <f t="shared" si="8"/>
        <v>43.859559562492592</v>
      </c>
      <c r="R23" s="17">
        <f t="shared" si="8"/>
        <v>50.75715739264885</v>
      </c>
    </row>
    <row r="24" spans="1:18" x14ac:dyDescent="0.35">
      <c r="A24" t="s">
        <v>40</v>
      </c>
      <c r="E24" s="6">
        <f>+E22-E23</f>
        <v>151</v>
      </c>
      <c r="F24" s="6">
        <f t="shared" ref="F24:G24" si="9">+F22-F23</f>
        <v>240</v>
      </c>
      <c r="G24" s="6">
        <f t="shared" si="9"/>
        <v>207</v>
      </c>
      <c r="H24" s="12">
        <f t="shared" si="0"/>
        <v>0.24198717948717949</v>
      </c>
      <c r="I24" s="12">
        <f t="shared" si="1"/>
        <v>0.28469750889679718</v>
      </c>
      <c r="J24" s="12">
        <f t="shared" si="2"/>
        <v>0.19255813953488371</v>
      </c>
      <c r="K24" s="17">
        <f>+K22-K23</f>
        <v>245.18812499999979</v>
      </c>
      <c r="L24" s="17">
        <f t="shared" ref="L24:R24" si="10">+L22-L23</f>
        <v>279.73764</v>
      </c>
      <c r="M24" s="17">
        <f t="shared" si="10"/>
        <v>312.78852259199988</v>
      </c>
      <c r="N24" s="17">
        <f t="shared" si="10"/>
        <v>348.56882454051839</v>
      </c>
      <c r="O24" s="17">
        <f t="shared" si="10"/>
        <v>380.88757606570556</v>
      </c>
      <c r="P24" s="17">
        <f t="shared" si="10"/>
        <v>415.01302730002226</v>
      </c>
      <c r="Q24" s="17">
        <f t="shared" si="10"/>
        <v>443.46888002075843</v>
      </c>
      <c r="R24" s="17">
        <f t="shared" si="10"/>
        <v>513.21125808122724</v>
      </c>
    </row>
    <row r="25" spans="1:18" x14ac:dyDescent="0.35">
      <c r="A25" t="s">
        <v>20</v>
      </c>
      <c r="E25" s="6"/>
      <c r="F25" s="6"/>
      <c r="G25" s="6"/>
      <c r="H25" s="12"/>
      <c r="I25" s="12"/>
      <c r="J25" s="12"/>
      <c r="K25" s="17">
        <f>+(K22-K21)*(1-K35)</f>
        <v>264.2981249999998</v>
      </c>
      <c r="L25" s="17">
        <f t="shared" ref="L25:R25" si="11">+(L22-L21)*(1-L35)</f>
        <v>298.84764000000001</v>
      </c>
      <c r="M25" s="17">
        <f t="shared" si="11"/>
        <v>331.89852259199989</v>
      </c>
      <c r="N25" s="17">
        <f t="shared" si="11"/>
        <v>367.67882454051841</v>
      </c>
      <c r="O25" s="17">
        <f t="shared" si="11"/>
        <v>399.99757606570557</v>
      </c>
      <c r="P25" s="17">
        <f t="shared" si="11"/>
        <v>434.12302730002227</v>
      </c>
      <c r="Q25" s="17">
        <f t="shared" si="11"/>
        <v>462.57888002075845</v>
      </c>
      <c r="R25" s="17">
        <f t="shared" si="11"/>
        <v>532.32125808122726</v>
      </c>
    </row>
    <row r="26" spans="1:18" x14ac:dyDescent="0.35">
      <c r="A26" t="s">
        <v>88</v>
      </c>
      <c r="E26" s="6"/>
      <c r="F26" s="6"/>
      <c r="G26" s="6"/>
      <c r="H26" s="12"/>
      <c r="I26" s="12"/>
      <c r="J26" s="12"/>
      <c r="K26" s="17">
        <f>+K24-'Valuation Models'!$E$7*G55</f>
        <v>82.228124999999778</v>
      </c>
      <c r="L26" s="17">
        <f>+L24-'Valuation Models'!$E$7*(G55+K24)</f>
        <v>89.316570000000041</v>
      </c>
      <c r="M26" s="17">
        <f>+M24-'Valuation Models'!$E$7*($G$55+SUM($K$24:L24))</f>
        <v>91.036836911999899</v>
      </c>
      <c r="N26" s="17">
        <f>+N24-'Valuation Models'!$E$7*($G$55+SUM($K$24:M24))</f>
        <v>91.784824330214406</v>
      </c>
      <c r="O26" s="17">
        <f>+O24-'Valuation Models'!$E$7*($G$55+SUM($K$24:N24))</f>
        <v>85.063867506863517</v>
      </c>
      <c r="P26" s="17">
        <f>+P24-'Valuation Models'!$E$7*($G$55+SUM($K$24:O24))</f>
        <v>76.529910221821183</v>
      </c>
      <c r="Q26" s="17">
        <f>+Q24-'Valuation Models'!$E$7*($G$55+SUM($K$24:P24))</f>
        <v>58.504303884954879</v>
      </c>
      <c r="R26" s="17">
        <f>+R24-'Valuation Models'!$E$7*($G$55+SUM($K$24:Q24))</f>
        <v>78.57816738309873</v>
      </c>
    </row>
    <row r="27" spans="1:18" x14ac:dyDescent="0.35">
      <c r="E27" s="6"/>
      <c r="F27" s="6"/>
      <c r="G27" s="6"/>
      <c r="H27" s="12"/>
      <c r="I27" s="12"/>
      <c r="J27" s="12"/>
      <c r="K27" s="17"/>
      <c r="L27" s="17"/>
      <c r="M27" s="17"/>
      <c r="N27" s="17"/>
      <c r="O27" s="17"/>
      <c r="P27" s="17"/>
      <c r="Q27" s="17"/>
      <c r="R27" s="17"/>
    </row>
    <row r="28" spans="1:18" s="4" customFormat="1" x14ac:dyDescent="0.35">
      <c r="A28" s="4" t="s">
        <v>84</v>
      </c>
      <c r="E28" s="15"/>
      <c r="F28" s="15"/>
      <c r="G28" s="15"/>
      <c r="K28" s="19"/>
      <c r="L28" s="19"/>
      <c r="M28" s="19"/>
      <c r="N28" s="19"/>
      <c r="O28" s="19"/>
      <c r="P28" s="19"/>
      <c r="Q28" s="19"/>
      <c r="R28" s="19"/>
    </row>
    <row r="29" spans="1:18" x14ac:dyDescent="0.35">
      <c r="A29" t="s">
        <v>79</v>
      </c>
      <c r="D29">
        <v>9</v>
      </c>
      <c r="E29" s="6">
        <v>13</v>
      </c>
      <c r="F29" s="6">
        <v>19</v>
      </c>
      <c r="G29" s="6">
        <v>24</v>
      </c>
      <c r="K29" s="20">
        <f>+G29*(1+K33)</f>
        <v>30</v>
      </c>
      <c r="L29" s="20">
        <f>+K29*(1+L33)</f>
        <v>36</v>
      </c>
      <c r="M29" s="20">
        <f t="shared" ref="M29:R29" si="12">+L29*(1+M33)</f>
        <v>42.48</v>
      </c>
      <c r="N29" s="20">
        <f t="shared" si="12"/>
        <v>49.276799999999994</v>
      </c>
      <c r="O29" s="20">
        <f t="shared" si="12"/>
        <v>56.175552000000003</v>
      </c>
      <c r="P29" s="20">
        <f t="shared" si="12"/>
        <v>62.916618240000012</v>
      </c>
      <c r="Q29" s="20">
        <f t="shared" si="12"/>
        <v>69.208280064000022</v>
      </c>
      <c r="R29" s="20">
        <f t="shared" si="12"/>
        <v>74.744942469120033</v>
      </c>
    </row>
    <row r="30" spans="1:18" x14ac:dyDescent="0.35">
      <c r="A30" t="s">
        <v>76</v>
      </c>
      <c r="E30" s="6">
        <f>+E8/E29</f>
        <v>48</v>
      </c>
      <c r="F30" s="6">
        <f>+F8/F29</f>
        <v>44.368421052631582</v>
      </c>
      <c r="G30" s="6">
        <f>+G8/G29</f>
        <v>44.791666666666664</v>
      </c>
      <c r="K30" s="20">
        <f>+G30*(1+K31)</f>
        <v>42.552083333333329</v>
      </c>
      <c r="L30" s="20">
        <f>+K30*(1+L31)</f>
        <v>40.849999999999994</v>
      </c>
      <c r="M30" s="20">
        <f t="shared" ref="M30:R30" si="13">+L30*(1+M31)</f>
        <v>39.215999999999994</v>
      </c>
      <c r="N30" s="20">
        <f t="shared" si="13"/>
        <v>38.039519999999996</v>
      </c>
      <c r="O30" s="20">
        <f t="shared" si="13"/>
        <v>36.898334399999996</v>
      </c>
      <c r="P30" s="20">
        <f t="shared" si="13"/>
        <v>36.160367711999996</v>
      </c>
      <c r="Q30" s="20">
        <f t="shared" si="13"/>
        <v>35.437160357759993</v>
      </c>
      <c r="R30" s="20">
        <f t="shared" si="13"/>
        <v>34.728417150604791</v>
      </c>
    </row>
    <row r="31" spans="1:18" x14ac:dyDescent="0.35">
      <c r="A31" t="s">
        <v>77</v>
      </c>
      <c r="E31" s="6"/>
      <c r="F31" s="6"/>
      <c r="G31" s="6"/>
      <c r="K31" s="16">
        <v>-0.05</v>
      </c>
      <c r="L31" s="16">
        <v>-0.04</v>
      </c>
      <c r="M31" s="16">
        <v>-0.04</v>
      </c>
      <c r="N31" s="16">
        <v>-0.03</v>
      </c>
      <c r="O31" s="16">
        <v>-0.03</v>
      </c>
      <c r="P31" s="16">
        <v>-0.02</v>
      </c>
      <c r="Q31" s="16">
        <v>-0.02</v>
      </c>
      <c r="R31" s="16">
        <v>-0.02</v>
      </c>
    </row>
    <row r="32" spans="1:18" x14ac:dyDescent="0.35">
      <c r="A32" t="s">
        <v>78</v>
      </c>
      <c r="E32" s="6"/>
      <c r="F32" s="6"/>
      <c r="G32" s="6"/>
      <c r="K32" s="16">
        <v>-0.05</v>
      </c>
      <c r="L32" s="16">
        <v>-0.04</v>
      </c>
      <c r="M32" s="16">
        <v>-0.04</v>
      </c>
      <c r="N32" s="16">
        <v>-0.03</v>
      </c>
      <c r="O32" s="16">
        <v>-0.03</v>
      </c>
      <c r="P32" s="16">
        <v>-0.02</v>
      </c>
      <c r="Q32" s="16">
        <v>-0.02</v>
      </c>
      <c r="R32" s="16">
        <v>-0.05</v>
      </c>
    </row>
    <row r="33" spans="1:18" x14ac:dyDescent="0.35">
      <c r="A33" t="s">
        <v>80</v>
      </c>
      <c r="E33" s="6"/>
      <c r="F33" s="6"/>
      <c r="G33" s="6"/>
      <c r="K33" s="16">
        <v>0.25</v>
      </c>
      <c r="L33" s="16">
        <v>0.2</v>
      </c>
      <c r="M33" s="16">
        <v>0.18</v>
      </c>
      <c r="N33" s="16">
        <v>0.16</v>
      </c>
      <c r="O33" s="16">
        <v>0.14000000000000001</v>
      </c>
      <c r="P33" s="16">
        <v>0.12</v>
      </c>
      <c r="Q33" s="16">
        <v>0.1</v>
      </c>
      <c r="R33" s="16">
        <v>0.08</v>
      </c>
    </row>
    <row r="34" spans="1:18" x14ac:dyDescent="0.35">
      <c r="A34" t="s">
        <v>81</v>
      </c>
      <c r="E34" s="14">
        <f>+E12/E29</f>
        <v>30.923076923076923</v>
      </c>
      <c r="F34" s="14">
        <f t="shared" ref="F34:G34" si="14">+F12/F29</f>
        <v>26.421052631578949</v>
      </c>
      <c r="G34" s="14">
        <f t="shared" si="14"/>
        <v>30.083333333333332</v>
      </c>
      <c r="K34" s="20">
        <f>+G34*(1+K32)</f>
        <v>28.579166666666666</v>
      </c>
      <c r="L34" s="20">
        <f>+K34*(1+L32)</f>
        <v>27.435999999999996</v>
      </c>
      <c r="M34" s="20">
        <f t="shared" ref="M34:R34" si="15">+L34*(1+M32)</f>
        <v>26.338559999999994</v>
      </c>
      <c r="N34" s="20">
        <f t="shared" si="15"/>
        <v>25.548403199999992</v>
      </c>
      <c r="O34" s="20">
        <f t="shared" si="15"/>
        <v>24.78195110399999</v>
      </c>
      <c r="P34" s="20">
        <f t="shared" si="15"/>
        <v>24.286312081919991</v>
      </c>
      <c r="Q34" s="20">
        <f t="shared" si="15"/>
        <v>23.800585840281592</v>
      </c>
      <c r="R34" s="20">
        <f t="shared" si="15"/>
        <v>22.61055654826751</v>
      </c>
    </row>
    <row r="35" spans="1:18" x14ac:dyDescent="0.35">
      <c r="A35" t="s">
        <v>82</v>
      </c>
      <c r="E35" s="14"/>
      <c r="F35" s="14"/>
      <c r="G35" s="14"/>
      <c r="K35" s="20">
        <v>0.09</v>
      </c>
      <c r="L35" s="20">
        <v>0.09</v>
      </c>
      <c r="M35" s="20">
        <v>0.09</v>
      </c>
      <c r="N35" s="20">
        <v>0.09</v>
      </c>
      <c r="O35" s="20">
        <v>0.09</v>
      </c>
      <c r="P35" s="20">
        <v>0.09</v>
      </c>
      <c r="Q35" s="20">
        <v>0.09</v>
      </c>
      <c r="R35" s="20">
        <v>0.09</v>
      </c>
    </row>
    <row r="36" spans="1:18" x14ac:dyDescent="0.35">
      <c r="A36" t="s">
        <v>85</v>
      </c>
      <c r="E36" s="14"/>
      <c r="F36" s="14"/>
      <c r="G36" s="14">
        <v>0.33</v>
      </c>
      <c r="K36" s="20">
        <v>0.33</v>
      </c>
      <c r="L36" s="20">
        <v>0.33</v>
      </c>
      <c r="M36" s="20">
        <v>0.33</v>
      </c>
      <c r="N36" s="20">
        <v>0.33</v>
      </c>
      <c r="O36" s="20">
        <v>0.33</v>
      </c>
      <c r="P36" s="20">
        <v>0.33</v>
      </c>
      <c r="Q36" s="20">
        <v>0.33</v>
      </c>
      <c r="R36" s="20">
        <v>0.33</v>
      </c>
    </row>
    <row r="37" spans="1:18" x14ac:dyDescent="0.35">
      <c r="A37" t="s">
        <v>86</v>
      </c>
      <c r="E37" s="14">
        <f>+E62/(E29-D29)</f>
        <v>-93.25</v>
      </c>
      <c r="F37" s="14">
        <f t="shared" ref="F37:G37" si="16">+F62/(F29-E29)</f>
        <v>-78.333333333333329</v>
      </c>
      <c r="G37" s="14">
        <f t="shared" si="16"/>
        <v>-66.400000000000006</v>
      </c>
      <c r="K37" s="20">
        <v>-78</v>
      </c>
      <c r="L37" s="20">
        <v>-78</v>
      </c>
      <c r="M37" s="20">
        <v>-78</v>
      </c>
      <c r="N37" s="20">
        <v>-78</v>
      </c>
      <c r="O37" s="20">
        <v>-78</v>
      </c>
      <c r="P37" s="20">
        <v>-78</v>
      </c>
      <c r="Q37" s="20">
        <v>-78</v>
      </c>
      <c r="R37" s="20">
        <v>-78</v>
      </c>
    </row>
    <row r="38" spans="1:18" x14ac:dyDescent="0.35">
      <c r="E38" s="14"/>
      <c r="F38" s="14"/>
      <c r="G38" s="14"/>
      <c r="K38" s="20"/>
      <c r="L38" s="20"/>
      <c r="M38" s="20"/>
      <c r="N38" s="20"/>
      <c r="O38" s="20"/>
      <c r="P38" s="20"/>
      <c r="Q38" s="20"/>
      <c r="R38" s="20"/>
    </row>
    <row r="39" spans="1:18" x14ac:dyDescent="0.35">
      <c r="E39" s="14"/>
      <c r="F39" s="14"/>
      <c r="G39" s="14"/>
      <c r="K39" s="20"/>
      <c r="L39" s="20"/>
      <c r="M39" s="20"/>
      <c r="N39" s="20"/>
      <c r="O39" s="20"/>
      <c r="P39" s="20"/>
      <c r="Q39" s="20"/>
      <c r="R39" s="20"/>
    </row>
    <row r="40" spans="1:18" x14ac:dyDescent="0.35">
      <c r="E40" s="6"/>
      <c r="F40" s="6"/>
      <c r="G40" s="6"/>
    </row>
    <row r="41" spans="1:18" x14ac:dyDescent="0.35">
      <c r="A41" s="4" t="s">
        <v>51</v>
      </c>
      <c r="E41" s="6"/>
      <c r="F41" s="6"/>
      <c r="G41" s="6"/>
    </row>
    <row r="42" spans="1:18" x14ac:dyDescent="0.35">
      <c r="E42" s="6"/>
      <c r="F42" s="6"/>
      <c r="G42" s="6"/>
    </row>
    <row r="43" spans="1:18" x14ac:dyDescent="0.35">
      <c r="A43" t="s">
        <v>43</v>
      </c>
      <c r="E43" s="6"/>
      <c r="F43" s="6">
        <v>1352</v>
      </c>
      <c r="G43" s="6">
        <v>1621</v>
      </c>
    </row>
    <row r="44" spans="1:18" x14ac:dyDescent="0.35">
      <c r="A44" t="s">
        <v>44</v>
      </c>
      <c r="E44" s="6"/>
      <c r="F44" s="6"/>
      <c r="G44" s="6"/>
    </row>
    <row r="45" spans="1:18" x14ac:dyDescent="0.35">
      <c r="B45" t="s">
        <v>45</v>
      </c>
      <c r="E45" s="6"/>
      <c r="F45" s="6">
        <v>1060</v>
      </c>
      <c r="G45" s="6">
        <v>1257</v>
      </c>
    </row>
    <row r="46" spans="1:18" x14ac:dyDescent="0.35">
      <c r="B46" t="s">
        <v>46</v>
      </c>
      <c r="E46" s="6"/>
      <c r="F46" s="6">
        <v>54</v>
      </c>
      <c r="G46" s="6">
        <v>61</v>
      </c>
    </row>
    <row r="47" spans="1:18" x14ac:dyDescent="0.35">
      <c r="E47" s="6"/>
      <c r="F47" s="6">
        <f>+F43+F45+F46</f>
        <v>2466</v>
      </c>
      <c r="G47" s="6">
        <f>+G43+G45+G46</f>
        <v>2939</v>
      </c>
    </row>
    <row r="48" spans="1:18" x14ac:dyDescent="0.35">
      <c r="E48" s="6"/>
      <c r="F48" s="6"/>
      <c r="G48" s="6"/>
    </row>
    <row r="49" spans="1:18" x14ac:dyDescent="0.35">
      <c r="A49" t="s">
        <v>47</v>
      </c>
      <c r="E49" s="6"/>
      <c r="F49" s="6"/>
      <c r="G49" s="6"/>
    </row>
    <row r="50" spans="1:18" x14ac:dyDescent="0.35">
      <c r="B50" t="s">
        <v>71</v>
      </c>
      <c r="E50" s="6"/>
      <c r="F50" s="6">
        <v>312</v>
      </c>
      <c r="G50" s="6">
        <v>405</v>
      </c>
    </row>
    <row r="51" spans="1:18" x14ac:dyDescent="0.35">
      <c r="B51" t="s">
        <v>72</v>
      </c>
      <c r="E51" s="6"/>
      <c r="F51" s="6">
        <v>65</v>
      </c>
      <c r="G51" s="6">
        <v>81</v>
      </c>
    </row>
    <row r="52" spans="1:18" x14ac:dyDescent="0.35">
      <c r="A52" t="s">
        <v>48</v>
      </c>
      <c r="E52" s="6"/>
      <c r="F52" s="6">
        <v>73</v>
      </c>
      <c r="G52" s="6">
        <v>124</v>
      </c>
    </row>
    <row r="53" spans="1:18" x14ac:dyDescent="0.35">
      <c r="A53" t="s">
        <v>49</v>
      </c>
      <c r="E53" s="6"/>
      <c r="F53" s="6">
        <v>774</v>
      </c>
      <c r="G53" s="6">
        <v>873</v>
      </c>
    </row>
    <row r="54" spans="1:18" x14ac:dyDescent="0.35">
      <c r="E54" s="6"/>
      <c r="F54" s="6"/>
      <c r="G54" s="6"/>
    </row>
    <row r="55" spans="1:18" x14ac:dyDescent="0.35">
      <c r="A55" t="s">
        <v>50</v>
      </c>
      <c r="E55" s="6"/>
      <c r="F55" s="6">
        <v>1242</v>
      </c>
      <c r="G55" s="6">
        <v>1455</v>
      </c>
    </row>
    <row r="56" spans="1:18" x14ac:dyDescent="0.35">
      <c r="E56" s="6"/>
      <c r="F56" s="6">
        <f>+SUM(F49:F55)</f>
        <v>2466</v>
      </c>
      <c r="G56" s="6">
        <f>+SUM(G49:G55)</f>
        <v>2938</v>
      </c>
    </row>
    <row r="57" spans="1:18" x14ac:dyDescent="0.35">
      <c r="E57" s="6"/>
      <c r="F57" s="6"/>
      <c r="G57" s="6"/>
    </row>
    <row r="58" spans="1:18" x14ac:dyDescent="0.35">
      <c r="A58" s="4" t="s">
        <v>52</v>
      </c>
      <c r="E58" s="6"/>
      <c r="F58" s="6"/>
      <c r="G58" s="6"/>
    </row>
    <row r="59" spans="1:18" x14ac:dyDescent="0.35">
      <c r="E59" s="6"/>
      <c r="F59" s="6"/>
      <c r="G59" s="6"/>
    </row>
    <row r="60" spans="1:18" x14ac:dyDescent="0.35">
      <c r="A60" t="s">
        <v>53</v>
      </c>
      <c r="E60" s="6">
        <v>309</v>
      </c>
      <c r="F60" s="6">
        <v>351</v>
      </c>
      <c r="G60" s="6">
        <v>462</v>
      </c>
      <c r="K60" s="18">
        <f>+K24+K15+K36*(K8-G8)</f>
        <v>440.45374999999973</v>
      </c>
      <c r="L60" s="18">
        <f>+L24+L15+L36*(L8-K8)</f>
        <v>498.27001500000006</v>
      </c>
      <c r="M60" s="18">
        <f t="shared" ref="M60:Q60" si="17">+M24+M15+M36*(M8-L8)</f>
        <v>559.54609699199978</v>
      </c>
      <c r="N60" s="18">
        <f t="shared" si="17"/>
        <v>628.87657045539834</v>
      </c>
      <c r="O60" s="18">
        <f t="shared" si="17"/>
        <v>687.41941967501998</v>
      </c>
      <c r="P60" s="18">
        <f t="shared" si="17"/>
        <v>751.79041740462367</v>
      </c>
      <c r="Q60" s="18">
        <f t="shared" si="17"/>
        <v>799.04851505516467</v>
      </c>
      <c r="R60" s="18">
        <f t="shared" ref="R60" si="18">+R24+R15+R36*(R8-Q8)</f>
        <v>881.25708185129918</v>
      </c>
    </row>
    <row r="61" spans="1:18" x14ac:dyDescent="0.35">
      <c r="A61" t="s">
        <v>54</v>
      </c>
      <c r="E61" s="6"/>
      <c r="F61" s="6"/>
      <c r="G61" s="6"/>
      <c r="K61" s="18"/>
      <c r="L61" s="18"/>
      <c r="M61" s="18"/>
      <c r="N61" s="18"/>
      <c r="O61" s="18"/>
      <c r="P61" s="18"/>
      <c r="Q61" s="18"/>
      <c r="R61" s="18"/>
    </row>
    <row r="62" spans="1:18" x14ac:dyDescent="0.35">
      <c r="B62" t="s">
        <v>55</v>
      </c>
      <c r="E62" s="6">
        <v>-373</v>
      </c>
      <c r="F62" s="6">
        <v>-470</v>
      </c>
      <c r="G62" s="6">
        <v>-332</v>
      </c>
      <c r="K62" s="18">
        <f>+K37*K33*G29</f>
        <v>-468</v>
      </c>
      <c r="L62" s="18">
        <f>+L37*L33*K29</f>
        <v>-468.00000000000006</v>
      </c>
      <c r="M62" s="18">
        <f t="shared" ref="M62:Q62" si="19">+M37*M33*L29</f>
        <v>-505.43999999999994</v>
      </c>
      <c r="N62" s="18">
        <f t="shared" si="19"/>
        <v>-530.15039999999999</v>
      </c>
      <c r="O62" s="18">
        <f t="shared" si="19"/>
        <v>-538.10265600000002</v>
      </c>
      <c r="P62" s="18">
        <f t="shared" si="19"/>
        <v>-525.80316672000004</v>
      </c>
      <c r="Q62" s="18">
        <f t="shared" si="19"/>
        <v>-490.74962227200012</v>
      </c>
      <c r="R62" s="18">
        <f t="shared" ref="R62" si="20">+R37*R33*Q29</f>
        <v>-431.85966759936014</v>
      </c>
    </row>
    <row r="63" spans="1:18" x14ac:dyDescent="0.35">
      <c r="B63" t="s">
        <v>56</v>
      </c>
      <c r="E63" s="6"/>
      <c r="F63" s="6"/>
      <c r="G63" s="6">
        <v>-33</v>
      </c>
    </row>
    <row r="64" spans="1:18" x14ac:dyDescent="0.35">
      <c r="A64" t="s">
        <v>57</v>
      </c>
      <c r="E64" s="6">
        <v>330</v>
      </c>
      <c r="F64" s="6">
        <v>287</v>
      </c>
      <c r="G64" s="6">
        <v>123</v>
      </c>
    </row>
    <row r="65" spans="1:11" x14ac:dyDescent="0.35">
      <c r="A65" t="s">
        <v>58</v>
      </c>
      <c r="E65" s="6">
        <v>5</v>
      </c>
      <c r="F65" s="6">
        <v>-3</v>
      </c>
      <c r="G65" s="6">
        <v>-22</v>
      </c>
    </row>
    <row r="66" spans="1:11" x14ac:dyDescent="0.35">
      <c r="A66" t="s">
        <v>59</v>
      </c>
      <c r="E66" s="6">
        <v>-251</v>
      </c>
      <c r="F66" s="6">
        <v>-166</v>
      </c>
      <c r="G66" s="6">
        <v>-249</v>
      </c>
    </row>
    <row r="67" spans="1:11" x14ac:dyDescent="0.35">
      <c r="A67" t="s">
        <v>60</v>
      </c>
      <c r="E67" s="6">
        <f>+SUM(E60:E66)</f>
        <v>20</v>
      </c>
      <c r="F67" s="6">
        <f t="shared" ref="F67:G67" si="21">+SUM(F60:F66)</f>
        <v>-1</v>
      </c>
      <c r="G67" s="6">
        <f t="shared" si="21"/>
        <v>-51</v>
      </c>
    </row>
    <row r="68" spans="1:11" x14ac:dyDescent="0.35">
      <c r="E68" s="6"/>
      <c r="F68" s="6"/>
      <c r="G68" s="6"/>
      <c r="K68" s="16" t="s">
        <v>87</v>
      </c>
    </row>
    <row r="70" spans="1:11" x14ac:dyDescent="0.35">
      <c r="A70" s="4" t="s">
        <v>75</v>
      </c>
    </row>
    <row r="72" spans="1:11" x14ac:dyDescent="0.35">
      <c r="A72" t="s">
        <v>64</v>
      </c>
      <c r="E72" s="10">
        <f>+(+E24+E21*(E23/E22))/E8</f>
        <v>0.24402512227656736</v>
      </c>
      <c r="F72" s="13">
        <f>+(+F24+F21*(1-(F23/F22)))/F8</f>
        <v>0.28577183911904919</v>
      </c>
      <c r="G72" s="13">
        <f>+(+G24-G21*(1-(G23/G22)))/G8</f>
        <v>0.21021630953589926</v>
      </c>
    </row>
    <row r="73" spans="1:11" x14ac:dyDescent="0.35">
      <c r="A73" t="s">
        <v>65</v>
      </c>
      <c r="F73" s="13">
        <f>+F8/(F43+F46-F50)</f>
        <v>0.7705667276051188</v>
      </c>
      <c r="G73" s="13">
        <f>+G8/(G43+G46-G50)</f>
        <v>0.84181675802662492</v>
      </c>
    </row>
    <row r="74" spans="1:11" x14ac:dyDescent="0.35">
      <c r="A74" t="s">
        <v>66</v>
      </c>
      <c r="F74" s="13">
        <f>+F72*F73</f>
        <v>0.2202062709116622</v>
      </c>
      <c r="G74" s="13">
        <f>+G72*G73</f>
        <v>0.17696361217783219</v>
      </c>
    </row>
    <row r="75" spans="1:11" x14ac:dyDescent="0.35">
      <c r="A75" t="s">
        <v>67</v>
      </c>
      <c r="F75" s="13">
        <f>+F74-(F19+F20)/(F51+F53-F45)</f>
        <v>0.2202062709116622</v>
      </c>
      <c r="G75" s="13">
        <f>+G74+(G19+G20)/(G51+G53-G45)</f>
        <v>0.25617153296991141</v>
      </c>
    </row>
    <row r="76" spans="1:11" x14ac:dyDescent="0.35">
      <c r="A76" t="s">
        <v>68</v>
      </c>
      <c r="F76" s="13">
        <f>+(-F45+F51+F53)/F55</f>
        <v>-0.177938808373591</v>
      </c>
      <c r="G76" s="13">
        <f>+(-G45+G51+G53)/G55</f>
        <v>-0.20824742268041238</v>
      </c>
    </row>
    <row r="77" spans="1:11" x14ac:dyDescent="0.35">
      <c r="A77" t="s">
        <v>69</v>
      </c>
      <c r="F77" s="13">
        <f>+F75*F76</f>
        <v>-3.9183241442413322E-2</v>
      </c>
      <c r="G77" s="13">
        <f>+G75*G76</f>
        <v>-5.3347061505074338E-2</v>
      </c>
    </row>
    <row r="78" spans="1:11" x14ac:dyDescent="0.35">
      <c r="A78" t="s">
        <v>70</v>
      </c>
      <c r="F78" s="13">
        <f>+F74+F77</f>
        <v>0.18102302946924886</v>
      </c>
      <c r="G78" s="13">
        <f>+G74+G77</f>
        <v>0.12361655067275784</v>
      </c>
    </row>
    <row r="80" spans="1:11" x14ac:dyDescent="0.35">
      <c r="A80" t="s">
        <v>73</v>
      </c>
    </row>
    <row r="81" spans="1:7" x14ac:dyDescent="0.35">
      <c r="A81" t="s">
        <v>61</v>
      </c>
      <c r="E81" s="10">
        <f>+E24/E8</f>
        <v>0.24198717948717949</v>
      </c>
      <c r="F81" s="13">
        <f t="shared" ref="F81:G81" si="22">+F24/F8</f>
        <v>0.28469750889679718</v>
      </c>
      <c r="G81" s="13">
        <f t="shared" si="22"/>
        <v>0.19255813953488371</v>
      </c>
    </row>
    <row r="82" spans="1:7" x14ac:dyDescent="0.35">
      <c r="A82" t="s">
        <v>62</v>
      </c>
      <c r="F82" s="13">
        <f>+F8/F47</f>
        <v>0.34184914841849151</v>
      </c>
      <c r="G82" s="13">
        <f>+G8/G47</f>
        <v>0.36577067029601906</v>
      </c>
    </row>
    <row r="83" spans="1:7" x14ac:dyDescent="0.35">
      <c r="A83" t="s">
        <v>63</v>
      </c>
      <c r="F83" s="13">
        <f>+F82*F81</f>
        <v>9.732360097323603E-2</v>
      </c>
      <c r="G83" s="13">
        <f>+G82*G81</f>
        <v>7.0432119768628787E-2</v>
      </c>
    </row>
    <row r="84" spans="1:7" x14ac:dyDescent="0.35">
      <c r="A84" t="s">
        <v>74</v>
      </c>
      <c r="F84" s="13">
        <f>+F56/F55</f>
        <v>1.9855072463768115</v>
      </c>
      <c r="G84" s="13">
        <f>+G56/G55</f>
        <v>2.0192439862542955</v>
      </c>
    </row>
    <row r="85" spans="1:7" x14ac:dyDescent="0.35">
      <c r="A85" t="s">
        <v>70</v>
      </c>
      <c r="F85" s="13">
        <f>+F83*F84</f>
        <v>0.19323671497584544</v>
      </c>
      <c r="G85" s="13">
        <f>+G83*G84</f>
        <v>0.14221963428194595</v>
      </c>
    </row>
    <row r="86" spans="1:7" x14ac:dyDescent="0.35">
      <c r="F86" s="13"/>
      <c r="G86" s="13">
        <v>0.1422680412371134</v>
      </c>
    </row>
  </sheetData>
  <mergeCells count="1">
    <mergeCell ref="K2:R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Models</vt:lpstr>
      <vt:lpstr>Basic data + Projections</vt:lpstr>
      <vt:lpstr>Sheet3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MMagnanSonyLap</dc:creator>
  <cp:lastModifiedBy>mmagnan</cp:lastModifiedBy>
  <dcterms:created xsi:type="dcterms:W3CDTF">2008-08-23T13:47:44Z</dcterms:created>
  <dcterms:modified xsi:type="dcterms:W3CDTF">2013-10-29T14:26:15Z</dcterms:modified>
</cp:coreProperties>
</file>