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3380" windowHeight="4080" activeTab="1"/>
  </bookViews>
  <sheets>
    <sheet name="OlamCostofCapital" sheetId="1" r:id="rId1"/>
    <sheet name="Results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36" i="2" l="1"/>
  <c r="K36" i="2"/>
  <c r="J36" i="2"/>
  <c r="I54" i="2"/>
  <c r="H54" i="2"/>
  <c r="G54" i="2"/>
  <c r="F54" i="2"/>
  <c r="I42" i="2"/>
  <c r="H42" i="2"/>
  <c r="G42" i="2"/>
  <c r="F42" i="2"/>
  <c r="I48" i="2"/>
  <c r="H48" i="2"/>
  <c r="G48" i="2"/>
  <c r="F48" i="2"/>
  <c r="E48" i="2"/>
  <c r="I39" i="2"/>
  <c r="H39" i="2"/>
  <c r="G39" i="2"/>
  <c r="F39" i="2"/>
  <c r="I57" i="2"/>
  <c r="H57" i="2"/>
  <c r="G57" i="2"/>
  <c r="F57" i="2"/>
  <c r="I64" i="2"/>
  <c r="I65" i="2" s="1"/>
  <c r="H64" i="2"/>
  <c r="H65" i="2" s="1"/>
  <c r="G64" i="2"/>
  <c r="G65" i="2" s="1"/>
  <c r="F64" i="2"/>
  <c r="F65" i="2" s="1"/>
  <c r="E65" i="2"/>
  <c r="E64" i="2"/>
  <c r="E57" i="2"/>
  <c r="E54" i="2"/>
  <c r="E42" i="2"/>
  <c r="E39" i="2"/>
  <c r="I55" i="2"/>
  <c r="H55" i="2"/>
  <c r="G55" i="2"/>
  <c r="I47" i="2"/>
  <c r="H47" i="2"/>
  <c r="G47" i="2"/>
  <c r="F47" i="2"/>
  <c r="E47" i="2"/>
  <c r="I36" i="2"/>
  <c r="H36" i="2"/>
  <c r="G36" i="2"/>
  <c r="F36" i="2"/>
  <c r="E36" i="2"/>
  <c r="L28" i="2"/>
  <c r="K28" i="2"/>
  <c r="J28" i="2"/>
  <c r="I28" i="2"/>
  <c r="H28" i="2"/>
  <c r="G28" i="2"/>
  <c r="F28" i="2"/>
  <c r="E28" i="2"/>
  <c r="L27" i="2"/>
  <c r="K27" i="2"/>
  <c r="J27" i="2"/>
  <c r="I27" i="2"/>
  <c r="H27" i="2"/>
  <c r="G27" i="2"/>
  <c r="F27" i="2"/>
  <c r="E27" i="2"/>
  <c r="L26" i="2"/>
  <c r="K26" i="2"/>
  <c r="J26" i="2"/>
  <c r="I26" i="2"/>
  <c r="H26" i="2"/>
  <c r="G26" i="2"/>
  <c r="F26" i="2"/>
  <c r="E26" i="2"/>
  <c r="L25" i="2"/>
  <c r="K25" i="2"/>
  <c r="J25" i="2"/>
  <c r="I25" i="2"/>
  <c r="H25" i="2"/>
  <c r="G25" i="2"/>
  <c r="F25" i="2"/>
  <c r="E25" i="2"/>
  <c r="L13" i="2"/>
  <c r="K13" i="2"/>
  <c r="J13" i="2"/>
  <c r="L10" i="2"/>
  <c r="K10" i="2"/>
  <c r="J10" i="2"/>
  <c r="I10" i="2"/>
  <c r="H10" i="2"/>
  <c r="G10" i="2"/>
  <c r="F10" i="2"/>
  <c r="E10" i="2"/>
  <c r="B15" i="1" l="1"/>
  <c r="B30" i="1"/>
</calcChain>
</file>

<file path=xl/sharedStrings.xml><?xml version="1.0" encoding="utf-8"?>
<sst xmlns="http://schemas.openxmlformats.org/spreadsheetml/2006/main" count="93" uniqueCount="83">
  <si>
    <t>Amount</t>
  </si>
  <si>
    <t>Estimated</t>
  </si>
  <si>
    <t>Interest</t>
  </si>
  <si>
    <t>Rate (%)</t>
  </si>
  <si>
    <t>Olam's Borrowings and Estimated Interest Rates for FY2013</t>
  </si>
  <si>
    <t>Current</t>
  </si>
  <si>
    <t>Bank overdrafts</t>
  </si>
  <si>
    <t>Bank loans (company)</t>
  </si>
  <si>
    <t>Bank loans (subsidiaries)</t>
  </si>
  <si>
    <t>Term loans from banks (company)</t>
  </si>
  <si>
    <t>Medium-term notes (2.5%)</t>
  </si>
  <si>
    <t>Obligation under finance leases</t>
  </si>
  <si>
    <t>Convertible bonds</t>
  </si>
  <si>
    <t>Non-curent</t>
  </si>
  <si>
    <t>Term loans from banks (subsidiaries)</t>
  </si>
  <si>
    <t>Medium-term notes</t>
  </si>
  <si>
    <t>Convertible bonds 6%</t>
  </si>
  <si>
    <t>Other bonds</t>
  </si>
  <si>
    <t>7.5% unsecured senior bonds</t>
  </si>
  <si>
    <t>Outspan Ivoire SA bonds</t>
  </si>
  <si>
    <t>6.75% bonds</t>
  </si>
  <si>
    <t>($000)</t>
  </si>
  <si>
    <t>Number of shares outstanding</t>
  </si>
  <si>
    <t>Closing price on March 31, 2014</t>
  </si>
  <si>
    <t>Target Debt/Equity Ratio</t>
  </si>
  <si>
    <t>Equity Beta</t>
  </si>
  <si>
    <t>Marginal Tax Rate</t>
  </si>
  <si>
    <t>Olam's Income Statement and Revenues Streams 2009-2013 ($000)</t>
  </si>
  <si>
    <t>Revenues</t>
  </si>
  <si>
    <t>Edible Nuts, Spices &amp; Beans</t>
  </si>
  <si>
    <t>Confectionary &amp; Beverage Ingredients</t>
  </si>
  <si>
    <t>Food Staples &amp; Packaged Foods</t>
  </si>
  <si>
    <t>Industrial Raw Materials</t>
  </si>
  <si>
    <t>Commodity Financial Services</t>
  </si>
  <si>
    <t>Cost of goods sold</t>
  </si>
  <si>
    <t>Gross Profit</t>
  </si>
  <si>
    <t>Other operating revenue</t>
  </si>
  <si>
    <t>Operating expenses</t>
  </si>
  <si>
    <t>Depreciation</t>
  </si>
  <si>
    <t>Amortization of intangibles</t>
  </si>
  <si>
    <t>Interest expense</t>
  </si>
  <si>
    <t>Net Operating gains (losses)</t>
  </si>
  <si>
    <t>F/X gains(losses)</t>
  </si>
  <si>
    <t>Income before Tax</t>
  </si>
  <si>
    <t>Income Tax</t>
  </si>
  <si>
    <t>Income after Tax</t>
  </si>
  <si>
    <t>2009A</t>
  </si>
  <si>
    <t>2010A</t>
  </si>
  <si>
    <t>2011A</t>
  </si>
  <si>
    <t>2012A</t>
  </si>
  <si>
    <t>2013A</t>
  </si>
  <si>
    <t>2014F</t>
  </si>
  <si>
    <t>2015F</t>
  </si>
  <si>
    <t>2016F</t>
  </si>
  <si>
    <t>EBITDA</t>
  </si>
  <si>
    <t>Depreciation and amortization</t>
  </si>
  <si>
    <t>EBIT</t>
  </si>
  <si>
    <t>After-tax EBIT</t>
  </si>
  <si>
    <t>Olam's Statement of Financial Position ($000)</t>
  </si>
  <si>
    <t>Assets</t>
  </si>
  <si>
    <t>Cash</t>
  </si>
  <si>
    <t>Net Operating Working Capital</t>
  </si>
  <si>
    <t>Other Receivables</t>
  </si>
  <si>
    <t>Other current assets</t>
  </si>
  <si>
    <t>PPE (Gross)</t>
  </si>
  <si>
    <t>Accumulated Depreciation</t>
  </si>
  <si>
    <t>PPE (Net)</t>
  </si>
  <si>
    <t>Intangibles (Net)</t>
  </si>
  <si>
    <t>Biological assets (Net)</t>
  </si>
  <si>
    <t>Investments</t>
  </si>
  <si>
    <t>Other assets</t>
  </si>
  <si>
    <t>Liabilities</t>
  </si>
  <si>
    <t>Notes payable</t>
  </si>
  <si>
    <t>Current portion of LT debt</t>
  </si>
  <si>
    <t>LT Debt and Lease obligations</t>
  </si>
  <si>
    <t>Deferred tax liabilities</t>
  </si>
  <si>
    <t>Equity</t>
  </si>
  <si>
    <t>Share capital</t>
  </si>
  <si>
    <t>Perpetual capital</t>
  </si>
  <si>
    <t>Reserves</t>
  </si>
  <si>
    <t>Non-controlling interests</t>
  </si>
  <si>
    <t>Other current liabilities</t>
  </si>
  <si>
    <t>Goodwill (Net)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</si>
</sst>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9" fontId="0" fillId="0" borderId="0" xfId="0" applyNumberFormat="1"/>
    <xf numFmtId="10" fontId="0" fillId="0" borderId="0" xfId="0" applyNumberFormat="1"/>
    <xf numFmtId="6" fontId="0" fillId="0" borderId="0" xfId="0" quotePrefix="1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/>
    <xf numFmtId="9" fontId="0" fillId="0" borderId="0" xfId="3" applyFont="1"/>
    <xf numFmtId="10" fontId="0" fillId="0" borderId="0" xfId="3" applyNumberFormat="1" applyFont="1"/>
    <xf numFmtId="0" fontId="2" fillId="0" borderId="0" xfId="0" applyFont="1"/>
    <xf numFmtId="43" fontId="0" fillId="0" borderId="0" xfId="1" applyNumberFormat="1" applyFont="1"/>
    <xf numFmtId="44" fontId="0" fillId="0" borderId="0" xfId="2" applyFont="1"/>
    <xf numFmtId="164" fontId="0" fillId="0" borderId="0" xfId="0" applyNumberFormat="1"/>
    <xf numFmtId="43" fontId="0" fillId="0" borderId="0" xfId="0" applyNumberForma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workbookViewId="0">
      <selection activeCell="B36" sqref="B36"/>
    </sheetView>
  </sheetViews>
  <sheetFormatPr defaultRowHeight="14.5" x14ac:dyDescent="0.35"/>
  <cols>
    <col min="1" max="1" width="32.6328125" customWidth="1"/>
    <col min="2" max="2" width="16.08984375" bestFit="1" customWidth="1"/>
  </cols>
  <sheetData>
    <row r="1" spans="1:3" x14ac:dyDescent="0.35">
      <c r="A1" s="8" t="s">
        <v>4</v>
      </c>
    </row>
    <row r="3" spans="1:3" x14ac:dyDescent="0.35">
      <c r="B3" s="4" t="s">
        <v>0</v>
      </c>
      <c r="C3" s="4" t="s">
        <v>1</v>
      </c>
    </row>
    <row r="4" spans="1:3" x14ac:dyDescent="0.35">
      <c r="B4" s="3" t="s">
        <v>21</v>
      </c>
      <c r="C4" s="4" t="s">
        <v>2</v>
      </c>
    </row>
    <row r="5" spans="1:3" x14ac:dyDescent="0.35">
      <c r="B5" s="4"/>
      <c r="C5" s="4" t="s">
        <v>3</v>
      </c>
    </row>
    <row r="7" spans="1:3" x14ac:dyDescent="0.35">
      <c r="A7" t="s">
        <v>5</v>
      </c>
    </row>
    <row r="8" spans="1:3" x14ac:dyDescent="0.35">
      <c r="A8" t="s">
        <v>6</v>
      </c>
      <c r="B8" s="5">
        <v>262147</v>
      </c>
      <c r="C8" s="7">
        <v>0.121</v>
      </c>
    </row>
    <row r="9" spans="1:3" x14ac:dyDescent="0.35">
      <c r="A9" t="s">
        <v>7</v>
      </c>
      <c r="B9" s="5">
        <v>164371</v>
      </c>
      <c r="C9" s="7">
        <v>1.3899999999999999E-2</v>
      </c>
    </row>
    <row r="10" spans="1:3" x14ac:dyDescent="0.35">
      <c r="A10" t="s">
        <v>8</v>
      </c>
      <c r="B10" s="5">
        <v>1951506</v>
      </c>
      <c r="C10" s="7">
        <v>0.121</v>
      </c>
    </row>
    <row r="11" spans="1:3" x14ac:dyDescent="0.35">
      <c r="A11" t="s">
        <v>9</v>
      </c>
      <c r="B11" s="5">
        <v>308522</v>
      </c>
      <c r="C11" s="7">
        <v>2.92E-2</v>
      </c>
    </row>
    <row r="12" spans="1:3" x14ac:dyDescent="0.35">
      <c r="A12" t="s">
        <v>10</v>
      </c>
      <c r="B12" s="5">
        <v>248055</v>
      </c>
      <c r="C12" s="7">
        <v>2.5000000000000001E-2</v>
      </c>
    </row>
    <row r="13" spans="1:3" x14ac:dyDescent="0.35">
      <c r="A13" t="s">
        <v>11</v>
      </c>
      <c r="B13" s="5">
        <v>4403</v>
      </c>
      <c r="C13" s="7">
        <v>5.3800000000000001E-2</v>
      </c>
    </row>
    <row r="14" spans="1:3" x14ac:dyDescent="0.35">
      <c r="A14" t="s">
        <v>12</v>
      </c>
      <c r="B14" s="5">
        <v>27555</v>
      </c>
      <c r="C14" s="7">
        <v>0.01</v>
      </c>
    </row>
    <row r="15" spans="1:3" x14ac:dyDescent="0.35">
      <c r="B15" s="5">
        <f>+SUM(B8:B14)</f>
        <v>2966559</v>
      </c>
      <c r="C15" s="7"/>
    </row>
    <row r="16" spans="1:3" x14ac:dyDescent="0.35">
      <c r="A16" t="s">
        <v>13</v>
      </c>
      <c r="B16" s="5"/>
      <c r="C16" s="7"/>
    </row>
    <row r="17" spans="1:3" x14ac:dyDescent="0.35">
      <c r="A17" t="s">
        <v>9</v>
      </c>
      <c r="B17" s="5">
        <v>1670762</v>
      </c>
      <c r="C17" s="7">
        <v>2.92E-2</v>
      </c>
    </row>
    <row r="18" spans="1:3" x14ac:dyDescent="0.35">
      <c r="A18" t="s">
        <v>14</v>
      </c>
      <c r="B18" s="5">
        <v>683430</v>
      </c>
      <c r="C18" s="7">
        <v>6.8599999999999994E-2</v>
      </c>
    </row>
    <row r="19" spans="1:3" x14ac:dyDescent="0.35">
      <c r="A19" t="s">
        <v>15</v>
      </c>
      <c r="B19" s="5"/>
      <c r="C19" s="7"/>
    </row>
    <row r="20" spans="1:3" x14ac:dyDescent="0.35">
      <c r="A20" s="1">
        <v>0.06</v>
      </c>
      <c r="B20" s="5">
        <v>249075</v>
      </c>
      <c r="C20" s="7">
        <v>0.06</v>
      </c>
    </row>
    <row r="21" spans="1:3" x14ac:dyDescent="0.35">
      <c r="A21" s="2">
        <v>5.7500000000000002E-2</v>
      </c>
      <c r="B21" s="5">
        <v>633300</v>
      </c>
      <c r="C21" s="7">
        <v>5.7500000000000002E-2</v>
      </c>
    </row>
    <row r="22" spans="1:3" x14ac:dyDescent="0.35">
      <c r="A22" s="2">
        <v>5.8000000000000003E-2</v>
      </c>
      <c r="B22" s="5">
        <v>348107</v>
      </c>
      <c r="C22" s="7">
        <v>5.8000000000000003E-2</v>
      </c>
    </row>
    <row r="23" spans="1:3" x14ac:dyDescent="0.35">
      <c r="A23" s="1">
        <v>0.06</v>
      </c>
      <c r="B23" s="5">
        <v>494023</v>
      </c>
      <c r="C23" s="7">
        <v>0.06</v>
      </c>
    </row>
    <row r="24" spans="1:3" x14ac:dyDescent="0.35">
      <c r="A24" t="s">
        <v>11</v>
      </c>
      <c r="B24" s="5">
        <v>21563</v>
      </c>
      <c r="C24" s="7">
        <v>5.3800000000000001E-2</v>
      </c>
    </row>
    <row r="25" spans="1:3" x14ac:dyDescent="0.35">
      <c r="A25" t="s">
        <v>16</v>
      </c>
      <c r="B25" s="5">
        <v>564601</v>
      </c>
      <c r="C25" s="7">
        <v>0.06</v>
      </c>
    </row>
    <row r="26" spans="1:3" x14ac:dyDescent="0.35">
      <c r="A26" t="s">
        <v>17</v>
      </c>
      <c r="B26" s="5"/>
      <c r="C26" s="7"/>
    </row>
    <row r="27" spans="1:3" x14ac:dyDescent="0.35">
      <c r="A27" t="s">
        <v>18</v>
      </c>
      <c r="B27" s="5">
        <v>314960</v>
      </c>
      <c r="C27" s="7">
        <v>7.4999999999999997E-2</v>
      </c>
    </row>
    <row r="28" spans="1:3" x14ac:dyDescent="0.35">
      <c r="A28" t="s">
        <v>19</v>
      </c>
      <c r="B28" s="5">
        <v>24492</v>
      </c>
      <c r="C28" s="7">
        <v>7.0000000000000007E-2</v>
      </c>
    </row>
    <row r="29" spans="1:3" x14ac:dyDescent="0.35">
      <c r="A29" t="s">
        <v>20</v>
      </c>
      <c r="B29" s="5">
        <v>878366</v>
      </c>
      <c r="C29" s="7">
        <v>6.7500000000000004E-2</v>
      </c>
    </row>
    <row r="30" spans="1:3" x14ac:dyDescent="0.35">
      <c r="B30" s="5">
        <f>+SUM(B17:B29)</f>
        <v>5882679</v>
      </c>
    </row>
    <row r="32" spans="1:3" x14ac:dyDescent="0.35">
      <c r="A32" t="s">
        <v>22</v>
      </c>
      <c r="B32" s="5">
        <v>2442409869</v>
      </c>
    </row>
    <row r="33" spans="1:2" x14ac:dyDescent="0.35">
      <c r="A33" t="s">
        <v>23</v>
      </c>
      <c r="B33" s="10">
        <v>2.2200000000000002</v>
      </c>
    </row>
    <row r="34" spans="1:2" x14ac:dyDescent="0.35">
      <c r="A34" t="s">
        <v>24</v>
      </c>
      <c r="B34" s="9">
        <v>1.93</v>
      </c>
    </row>
    <row r="35" spans="1:2" x14ac:dyDescent="0.35">
      <c r="A35" t="s">
        <v>25</v>
      </c>
      <c r="B35">
        <v>1.56</v>
      </c>
    </row>
    <row r="36" spans="1:2" x14ac:dyDescent="0.35">
      <c r="A36" t="s">
        <v>26</v>
      </c>
      <c r="B36" s="6">
        <v>0.17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topLeftCell="A35" workbookViewId="0">
      <selection activeCell="A54" sqref="A54"/>
    </sheetView>
  </sheetViews>
  <sheetFormatPr defaultRowHeight="14.5" x14ac:dyDescent="0.35"/>
  <cols>
    <col min="5" max="5" width="12.54296875" bestFit="1" customWidth="1"/>
    <col min="6" max="6" width="11.1796875" customWidth="1"/>
    <col min="7" max="7" width="11.26953125" customWidth="1"/>
    <col min="8" max="8" width="11" customWidth="1"/>
    <col min="9" max="9" width="11.54296875" customWidth="1"/>
    <col min="10" max="12" width="13.6328125" bestFit="1" customWidth="1"/>
  </cols>
  <sheetData>
    <row r="1" spans="1:12" x14ac:dyDescent="0.35">
      <c r="A1" s="8" t="s">
        <v>27</v>
      </c>
    </row>
    <row r="3" spans="1:12" x14ac:dyDescent="0.35">
      <c r="E3" s="4" t="s">
        <v>46</v>
      </c>
      <c r="F3" s="4" t="s">
        <v>47</v>
      </c>
      <c r="G3" s="4" t="s">
        <v>48</v>
      </c>
      <c r="H3" s="4" t="s">
        <v>49</v>
      </c>
      <c r="I3" s="4" t="s">
        <v>50</v>
      </c>
      <c r="J3" s="4" t="s">
        <v>51</v>
      </c>
      <c r="K3" s="4" t="s">
        <v>52</v>
      </c>
      <c r="L3" s="4" t="s">
        <v>53</v>
      </c>
    </row>
    <row r="4" spans="1:12" x14ac:dyDescent="0.35">
      <c r="A4" t="s">
        <v>28</v>
      </c>
    </row>
    <row r="5" spans="1:12" x14ac:dyDescent="0.35">
      <c r="A5" t="s">
        <v>29</v>
      </c>
      <c r="E5" s="5">
        <v>1200076</v>
      </c>
      <c r="F5" s="5">
        <v>1489434</v>
      </c>
      <c r="G5" s="5">
        <v>2183158</v>
      </c>
      <c r="H5" s="5">
        <v>2562755</v>
      </c>
      <c r="I5" s="5">
        <v>3205127</v>
      </c>
      <c r="J5" s="5">
        <v>3733731</v>
      </c>
      <c r="K5" s="5">
        <v>3908332</v>
      </c>
      <c r="L5" s="5">
        <v>4262736</v>
      </c>
    </row>
    <row r="6" spans="1:12" x14ac:dyDescent="0.35">
      <c r="A6" t="s">
        <v>30</v>
      </c>
      <c r="E6" s="5">
        <v>3783126</v>
      </c>
      <c r="F6" s="5">
        <v>4080307</v>
      </c>
      <c r="G6" s="5">
        <v>6361459</v>
      </c>
      <c r="H6" s="5">
        <v>5902203</v>
      </c>
      <c r="I6" s="5">
        <v>5273235</v>
      </c>
      <c r="J6" s="5">
        <v>5213834</v>
      </c>
      <c r="K6" s="5">
        <v>5349935</v>
      </c>
      <c r="L6" s="5">
        <v>5699737</v>
      </c>
    </row>
    <row r="7" spans="1:12" x14ac:dyDescent="0.35">
      <c r="A7" t="s">
        <v>31</v>
      </c>
      <c r="E7" s="5">
        <v>2139621</v>
      </c>
      <c r="F7" s="5">
        <v>2589545</v>
      </c>
      <c r="G7" s="5">
        <v>3466623</v>
      </c>
      <c r="H7" s="5">
        <v>4586435</v>
      </c>
      <c r="I7" s="5">
        <v>7720913</v>
      </c>
      <c r="J7" s="5">
        <v>9021015</v>
      </c>
      <c r="K7" s="5">
        <v>9638616</v>
      </c>
      <c r="L7" s="5">
        <v>10886518</v>
      </c>
    </row>
    <row r="8" spans="1:12" x14ac:dyDescent="0.35">
      <c r="A8" t="s">
        <v>32</v>
      </c>
      <c r="E8" s="5">
        <v>1465109</v>
      </c>
      <c r="F8" s="5">
        <v>2295746</v>
      </c>
      <c r="G8" s="5">
        <v>3790018</v>
      </c>
      <c r="H8" s="5">
        <v>4040810</v>
      </c>
      <c r="I8" s="5">
        <v>4601099</v>
      </c>
      <c r="J8" s="5">
        <v>5158298</v>
      </c>
      <c r="K8" s="5">
        <v>5266598</v>
      </c>
      <c r="L8" s="5">
        <v>5583598</v>
      </c>
    </row>
    <row r="9" spans="1:12" x14ac:dyDescent="0.35">
      <c r="A9" t="s">
        <v>33</v>
      </c>
      <c r="E9" s="5">
        <v>0</v>
      </c>
      <c r="F9" s="5">
        <v>0</v>
      </c>
      <c r="G9" s="5">
        <v>2129</v>
      </c>
      <c r="H9" s="5">
        <v>1548</v>
      </c>
      <c r="I9" s="5">
        <v>1424</v>
      </c>
      <c r="J9" s="5">
        <v>1466</v>
      </c>
      <c r="K9" s="5">
        <v>1510</v>
      </c>
      <c r="L9" s="5">
        <v>1556</v>
      </c>
    </row>
    <row r="10" spans="1:12" x14ac:dyDescent="0.35">
      <c r="E10" s="5">
        <f>+SUM(E5:E9)</f>
        <v>8587932</v>
      </c>
      <c r="F10" s="5">
        <f t="shared" ref="F10:L10" si="0">+SUM(F5:F9)</f>
        <v>10455032</v>
      </c>
      <c r="G10" s="5">
        <f t="shared" si="0"/>
        <v>15803387</v>
      </c>
      <c r="H10" s="5">
        <f t="shared" si="0"/>
        <v>17093751</v>
      </c>
      <c r="I10" s="5">
        <f t="shared" si="0"/>
        <v>20801798</v>
      </c>
      <c r="J10" s="5">
        <f t="shared" si="0"/>
        <v>23128344</v>
      </c>
      <c r="K10" s="5">
        <f t="shared" si="0"/>
        <v>24164991</v>
      </c>
      <c r="L10" s="5">
        <f t="shared" si="0"/>
        <v>26434145</v>
      </c>
    </row>
    <row r="11" spans="1:12" x14ac:dyDescent="0.35">
      <c r="E11" s="5"/>
      <c r="F11" s="5"/>
      <c r="G11" s="5"/>
      <c r="H11" s="5"/>
      <c r="I11" s="5"/>
    </row>
    <row r="12" spans="1:12" x14ac:dyDescent="0.35">
      <c r="A12" t="s">
        <v>34</v>
      </c>
      <c r="E12" s="5">
        <v>6980032</v>
      </c>
      <c r="F12" s="5">
        <v>8465914</v>
      </c>
      <c r="G12" s="5">
        <v>13126857</v>
      </c>
      <c r="H12" s="5">
        <v>13866578</v>
      </c>
      <c r="I12" s="5">
        <v>17053837</v>
      </c>
      <c r="J12" s="5">
        <v>18892158</v>
      </c>
      <c r="K12" s="5">
        <v>19738933</v>
      </c>
      <c r="L12" s="5">
        <v>21592468</v>
      </c>
    </row>
    <row r="13" spans="1:12" x14ac:dyDescent="0.35">
      <c r="A13" t="s">
        <v>35</v>
      </c>
      <c r="E13" s="5">
        <v>1607900</v>
      </c>
      <c r="F13" s="5">
        <v>1989118</v>
      </c>
      <c r="G13" s="5">
        <v>2676530</v>
      </c>
      <c r="H13" s="5">
        <v>3227173</v>
      </c>
      <c r="I13" s="5">
        <v>3747961</v>
      </c>
      <c r="J13" s="11">
        <f>+J10-J12</f>
        <v>4236186</v>
      </c>
      <c r="K13" s="11">
        <f t="shared" ref="K13:L13" si="1">+K10-K12</f>
        <v>4426058</v>
      </c>
      <c r="L13" s="11">
        <f t="shared" si="1"/>
        <v>4841677</v>
      </c>
    </row>
    <row r="14" spans="1:12" x14ac:dyDescent="0.35">
      <c r="A14" t="s">
        <v>36</v>
      </c>
      <c r="E14" s="5">
        <v>15158</v>
      </c>
      <c r="F14" s="5">
        <v>47362</v>
      </c>
      <c r="G14" s="5">
        <v>18428</v>
      </c>
      <c r="H14" s="5">
        <v>28245</v>
      </c>
      <c r="I14" s="5">
        <v>47175</v>
      </c>
      <c r="J14" s="5">
        <v>52732</v>
      </c>
      <c r="K14" s="5">
        <v>55098</v>
      </c>
      <c r="L14" s="5">
        <v>60269</v>
      </c>
    </row>
    <row r="15" spans="1:12" x14ac:dyDescent="0.35">
      <c r="A15" t="s">
        <v>37</v>
      </c>
      <c r="E15" s="5">
        <v>1246078</v>
      </c>
      <c r="F15" s="5">
        <v>1685753</v>
      </c>
      <c r="G15" s="5">
        <v>2025588</v>
      </c>
      <c r="H15" s="5">
        <v>2326161</v>
      </c>
      <c r="I15" s="5">
        <v>2680778</v>
      </c>
      <c r="J15" s="5">
        <v>2980550</v>
      </c>
      <c r="K15" s="5">
        <v>3114201</v>
      </c>
      <c r="L15" s="5">
        <v>3406632</v>
      </c>
    </row>
    <row r="16" spans="1:12" x14ac:dyDescent="0.35">
      <c r="A16" t="s">
        <v>38</v>
      </c>
      <c r="E16" s="5">
        <v>40532</v>
      </c>
      <c r="F16" s="5">
        <v>68530</v>
      </c>
      <c r="G16" s="5">
        <v>91471</v>
      </c>
      <c r="H16" s="5">
        <v>128691</v>
      </c>
      <c r="I16" s="5">
        <v>175878</v>
      </c>
      <c r="J16" s="5">
        <v>269080</v>
      </c>
      <c r="K16" s="5">
        <v>275851</v>
      </c>
      <c r="L16" s="5">
        <v>293865</v>
      </c>
    </row>
    <row r="17" spans="1:12" x14ac:dyDescent="0.35">
      <c r="A17" t="s">
        <v>39</v>
      </c>
      <c r="E17" s="5">
        <v>0</v>
      </c>
      <c r="F17" s="5">
        <v>3274</v>
      </c>
      <c r="G17" s="5">
        <v>16097</v>
      </c>
      <c r="H17" s="5">
        <v>21923</v>
      </c>
      <c r="I17" s="5">
        <v>23434</v>
      </c>
      <c r="J17" s="5">
        <v>27704</v>
      </c>
      <c r="K17" s="5">
        <v>26153</v>
      </c>
      <c r="L17" s="5">
        <v>24689</v>
      </c>
    </row>
    <row r="18" spans="1:12" x14ac:dyDescent="0.35">
      <c r="A18" t="s">
        <v>40</v>
      </c>
      <c r="E18" s="5">
        <v>239179</v>
      </c>
      <c r="F18" s="5">
        <v>227475</v>
      </c>
      <c r="G18" s="5">
        <v>344358</v>
      </c>
      <c r="H18" s="5">
        <v>437550</v>
      </c>
      <c r="I18" s="5">
        <v>518353</v>
      </c>
    </row>
    <row r="19" spans="1:12" x14ac:dyDescent="0.35">
      <c r="A19" t="s">
        <v>42</v>
      </c>
      <c r="E19" s="5">
        <v>-39423</v>
      </c>
      <c r="F19" s="5">
        <v>20655</v>
      </c>
      <c r="G19" s="5">
        <v>63709</v>
      </c>
      <c r="H19" s="5">
        <v>-93057</v>
      </c>
      <c r="I19" s="5">
        <v>-55279</v>
      </c>
    </row>
    <row r="20" spans="1:12" x14ac:dyDescent="0.35">
      <c r="A20" t="s">
        <v>41</v>
      </c>
      <c r="E20" s="5">
        <v>200178</v>
      </c>
      <c r="F20" s="5">
        <v>348092</v>
      </c>
      <c r="G20" s="5">
        <v>229112</v>
      </c>
      <c r="H20" s="5">
        <v>189874</v>
      </c>
      <c r="I20" s="5">
        <v>155237</v>
      </c>
    </row>
    <row r="21" spans="1:12" x14ac:dyDescent="0.35">
      <c r="A21" t="s">
        <v>43</v>
      </c>
      <c r="E21" s="5">
        <v>258024</v>
      </c>
      <c r="F21" s="5">
        <v>420195</v>
      </c>
      <c r="G21" s="5">
        <v>510265</v>
      </c>
      <c r="H21" s="5">
        <v>437910</v>
      </c>
      <c r="I21" s="5">
        <v>496651</v>
      </c>
    </row>
    <row r="22" spans="1:12" x14ac:dyDescent="0.35">
      <c r="A22" t="s">
        <v>44</v>
      </c>
      <c r="E22" s="5">
        <v>5995</v>
      </c>
      <c r="F22" s="5">
        <v>60446</v>
      </c>
      <c r="G22" s="5">
        <v>65697</v>
      </c>
      <c r="H22" s="5">
        <v>34085</v>
      </c>
      <c r="I22" s="5">
        <v>105134</v>
      </c>
    </row>
    <row r="23" spans="1:12" x14ac:dyDescent="0.35">
      <c r="A23" t="s">
        <v>45</v>
      </c>
      <c r="E23" s="5">
        <v>252029</v>
      </c>
      <c r="F23" s="5">
        <v>359749</v>
      </c>
      <c r="G23" s="5">
        <v>444568</v>
      </c>
      <c r="H23" s="5">
        <v>403825</v>
      </c>
      <c r="I23" s="5">
        <v>391517</v>
      </c>
    </row>
    <row r="25" spans="1:12" x14ac:dyDescent="0.35">
      <c r="A25" t="s">
        <v>54</v>
      </c>
      <c r="E25" s="11">
        <f>+E13+E14-E15</f>
        <v>376980</v>
      </c>
      <c r="F25" s="11">
        <f t="shared" ref="F25:L25" si="2">+F13+F14-F15</f>
        <v>350727</v>
      </c>
      <c r="G25" s="11">
        <f t="shared" si="2"/>
        <v>669370</v>
      </c>
      <c r="H25" s="11">
        <f t="shared" si="2"/>
        <v>929257</v>
      </c>
      <c r="I25" s="11">
        <f t="shared" si="2"/>
        <v>1114358</v>
      </c>
      <c r="J25" s="11">
        <f t="shared" si="2"/>
        <v>1308368</v>
      </c>
      <c r="K25" s="11">
        <f t="shared" si="2"/>
        <v>1366955</v>
      </c>
      <c r="L25" s="11">
        <f t="shared" si="2"/>
        <v>1495314</v>
      </c>
    </row>
    <row r="26" spans="1:12" x14ac:dyDescent="0.35">
      <c r="A26" t="s">
        <v>55</v>
      </c>
      <c r="E26" s="11">
        <f>+E16+E17</f>
        <v>40532</v>
      </c>
      <c r="F26" s="11">
        <f t="shared" ref="F26:L26" si="3">+F16+F17</f>
        <v>71804</v>
      </c>
      <c r="G26" s="11">
        <f t="shared" si="3"/>
        <v>107568</v>
      </c>
      <c r="H26" s="11">
        <f t="shared" si="3"/>
        <v>150614</v>
      </c>
      <c r="I26" s="11">
        <f t="shared" si="3"/>
        <v>199312</v>
      </c>
      <c r="J26" s="11">
        <f t="shared" si="3"/>
        <v>296784</v>
      </c>
      <c r="K26" s="11">
        <f t="shared" si="3"/>
        <v>302004</v>
      </c>
      <c r="L26" s="11">
        <f t="shared" si="3"/>
        <v>318554</v>
      </c>
    </row>
    <row r="27" spans="1:12" x14ac:dyDescent="0.35">
      <c r="A27" t="s">
        <v>56</v>
      </c>
      <c r="E27" s="11">
        <f>+E25-E26</f>
        <v>336448</v>
      </c>
      <c r="F27" s="11">
        <f t="shared" ref="F27:L27" si="4">+F25-F26</f>
        <v>278923</v>
      </c>
      <c r="G27" s="11">
        <f t="shared" si="4"/>
        <v>561802</v>
      </c>
      <c r="H27" s="11">
        <f t="shared" si="4"/>
        <v>778643</v>
      </c>
      <c r="I27" s="11">
        <f t="shared" si="4"/>
        <v>915046</v>
      </c>
      <c r="J27" s="11">
        <f t="shared" si="4"/>
        <v>1011584</v>
      </c>
      <c r="K27" s="11">
        <f t="shared" si="4"/>
        <v>1064951</v>
      </c>
      <c r="L27" s="11">
        <f t="shared" si="4"/>
        <v>1176760</v>
      </c>
    </row>
    <row r="28" spans="1:12" x14ac:dyDescent="0.35">
      <c r="A28" t="s">
        <v>57</v>
      </c>
      <c r="D28">
        <v>0.17</v>
      </c>
      <c r="E28" s="11">
        <f>+E27-E22</f>
        <v>330453</v>
      </c>
      <c r="F28" s="11">
        <f t="shared" ref="F28:I28" si="5">+F27-F22</f>
        <v>218477</v>
      </c>
      <c r="G28" s="11">
        <f t="shared" si="5"/>
        <v>496105</v>
      </c>
      <c r="H28" s="11">
        <f t="shared" si="5"/>
        <v>744558</v>
      </c>
      <c r="I28" s="11">
        <f t="shared" si="5"/>
        <v>809912</v>
      </c>
      <c r="J28" s="12">
        <f>+J27-$D$28*J27</f>
        <v>839614.72</v>
      </c>
      <c r="K28" s="12">
        <f t="shared" ref="K28:L28" si="6">+K27-$D$28*K27</f>
        <v>883909.33</v>
      </c>
      <c r="L28" s="12">
        <f t="shared" si="6"/>
        <v>976710.8</v>
      </c>
    </row>
    <row r="31" spans="1:12" x14ac:dyDescent="0.35">
      <c r="A31" s="8" t="s">
        <v>58</v>
      </c>
    </row>
    <row r="33" spans="1:12" x14ac:dyDescent="0.35">
      <c r="E33" s="4" t="s">
        <v>46</v>
      </c>
      <c r="F33" s="4" t="s">
        <v>47</v>
      </c>
      <c r="G33" s="4" t="s">
        <v>48</v>
      </c>
      <c r="H33" s="4" t="s">
        <v>49</v>
      </c>
      <c r="I33" s="4" t="s">
        <v>50</v>
      </c>
      <c r="J33" s="4" t="s">
        <v>51</v>
      </c>
      <c r="K33" s="4" t="s">
        <v>52</v>
      </c>
      <c r="L33" s="4" t="s">
        <v>53</v>
      </c>
    </row>
    <row r="34" spans="1:12" x14ac:dyDescent="0.35">
      <c r="A34" t="s">
        <v>59</v>
      </c>
    </row>
    <row r="35" spans="1:12" x14ac:dyDescent="0.35">
      <c r="A35" t="s">
        <v>60</v>
      </c>
      <c r="E35">
        <v>533818</v>
      </c>
      <c r="F35">
        <v>671543</v>
      </c>
      <c r="G35">
        <v>872247</v>
      </c>
      <c r="H35">
        <v>1110856</v>
      </c>
      <c r="I35">
        <v>1630666</v>
      </c>
    </row>
    <row r="36" spans="1:12" x14ac:dyDescent="0.35">
      <c r="A36" t="s">
        <v>61</v>
      </c>
      <c r="E36">
        <f>732500+2244102+116931-439175-166325</f>
        <v>2488033</v>
      </c>
      <c r="F36">
        <f>976781+2821830+103384-396153-240728</f>
        <v>3265114</v>
      </c>
      <c r="G36">
        <f>1595446+3806351+164888-613112-463730</f>
        <v>4489843</v>
      </c>
      <c r="H36">
        <f>1596796+4730570+298825-678331-408743</f>
        <v>5539117</v>
      </c>
      <c r="I36">
        <f>2372900+4752741+243652-1188242-571178</f>
        <v>5609873</v>
      </c>
      <c r="J36">
        <f>2638279+5265063+270832-1316343-635104</f>
        <v>6222727</v>
      </c>
      <c r="K36">
        <f>2756530+5501051+282972-1375344-663570</f>
        <v>6501639</v>
      </c>
      <c r="L36">
        <f>3015375+6017613+309543-1504492-725881</f>
        <v>7112158</v>
      </c>
    </row>
    <row r="37" spans="1:12" x14ac:dyDescent="0.35">
      <c r="A37" t="s">
        <v>62</v>
      </c>
      <c r="E37">
        <v>211088</v>
      </c>
      <c r="F37">
        <v>271521</v>
      </c>
      <c r="G37">
        <v>251274</v>
      </c>
      <c r="H37">
        <v>271465</v>
      </c>
      <c r="I37">
        <v>238380</v>
      </c>
      <c r="J37">
        <v>265057</v>
      </c>
      <c r="K37">
        <v>276937</v>
      </c>
      <c r="L37">
        <v>302942</v>
      </c>
    </row>
    <row r="38" spans="1:12" x14ac:dyDescent="0.35">
      <c r="A38" t="s">
        <v>63</v>
      </c>
      <c r="E38">
        <v>428691</v>
      </c>
      <c r="F38">
        <v>827836</v>
      </c>
      <c r="G38">
        <v>2909233</v>
      </c>
      <c r="H38">
        <v>1377217</v>
      </c>
      <c r="I38">
        <v>637031</v>
      </c>
      <c r="J38">
        <v>708189</v>
      </c>
      <c r="K38">
        <v>739932</v>
      </c>
      <c r="L38">
        <v>809413</v>
      </c>
    </row>
    <row r="39" spans="1:12" x14ac:dyDescent="0.35">
      <c r="E39">
        <f>+SUM(E35:E38)</f>
        <v>3661630</v>
      </c>
      <c r="F39">
        <f t="shared" ref="F39:I39" si="7">+SUM(F35:F38)</f>
        <v>5036014</v>
      </c>
      <c r="G39">
        <f t="shared" si="7"/>
        <v>8522597</v>
      </c>
      <c r="H39">
        <f t="shared" si="7"/>
        <v>8298655</v>
      </c>
      <c r="I39">
        <f t="shared" si="7"/>
        <v>8115950</v>
      </c>
    </row>
    <row r="40" spans="1:12" x14ac:dyDescent="0.35">
      <c r="A40" t="s">
        <v>64</v>
      </c>
      <c r="E40">
        <v>647102</v>
      </c>
      <c r="F40">
        <v>1221258</v>
      </c>
      <c r="G40">
        <v>1802701</v>
      </c>
      <c r="H40">
        <v>2978814</v>
      </c>
      <c r="I40">
        <v>3932825</v>
      </c>
    </row>
    <row r="41" spans="1:12" x14ac:dyDescent="0.35">
      <c r="A41" t="s">
        <v>65</v>
      </c>
      <c r="E41">
        <v>113139</v>
      </c>
      <c r="F41">
        <v>167092</v>
      </c>
      <c r="G41">
        <v>225986</v>
      </c>
      <c r="H41">
        <v>357819</v>
      </c>
      <c r="I41">
        <v>505050</v>
      </c>
    </row>
    <row r="42" spans="1:12" x14ac:dyDescent="0.35">
      <c r="A42" t="s">
        <v>66</v>
      </c>
      <c r="E42">
        <f>+E40-E41</f>
        <v>533963</v>
      </c>
      <c r="F42">
        <f t="shared" ref="F42:I42" si="8">+F40-F41</f>
        <v>1054166</v>
      </c>
      <c r="G42">
        <f t="shared" si="8"/>
        <v>1576715</v>
      </c>
      <c r="H42">
        <f t="shared" si="8"/>
        <v>2620995</v>
      </c>
      <c r="I42">
        <f t="shared" si="8"/>
        <v>3427775</v>
      </c>
      <c r="J42">
        <v>3514030</v>
      </c>
      <c r="K42">
        <v>3743515</v>
      </c>
      <c r="L42">
        <v>3919873</v>
      </c>
    </row>
    <row r="43" spans="1:12" x14ac:dyDescent="0.35">
      <c r="A43" t="s">
        <v>68</v>
      </c>
      <c r="E43">
        <v>0</v>
      </c>
      <c r="F43">
        <v>181883</v>
      </c>
      <c r="G43">
        <v>453168</v>
      </c>
      <c r="H43">
        <v>631339</v>
      </c>
      <c r="I43">
        <v>781742</v>
      </c>
    </row>
    <row r="44" spans="1:12" x14ac:dyDescent="0.35">
      <c r="A44" t="s">
        <v>82</v>
      </c>
      <c r="E44">
        <v>100184</v>
      </c>
      <c r="F44">
        <v>97280</v>
      </c>
      <c r="G44">
        <v>95382</v>
      </c>
      <c r="H44">
        <v>149356</v>
      </c>
      <c r="I44">
        <v>191531</v>
      </c>
      <c r="J44">
        <v>191531</v>
      </c>
      <c r="K44">
        <v>191531</v>
      </c>
      <c r="L44">
        <v>191531</v>
      </c>
    </row>
    <row r="45" spans="1:12" x14ac:dyDescent="0.35">
      <c r="A45" t="s">
        <v>67</v>
      </c>
      <c r="E45">
        <v>27354</v>
      </c>
      <c r="F45">
        <v>244306</v>
      </c>
      <c r="G45">
        <v>390556</v>
      </c>
      <c r="H45">
        <v>510801</v>
      </c>
      <c r="I45">
        <v>494985</v>
      </c>
      <c r="J45">
        <v>467280</v>
      </c>
      <c r="K45">
        <v>441126</v>
      </c>
      <c r="L45">
        <v>416437</v>
      </c>
    </row>
    <row r="46" spans="1:12" x14ac:dyDescent="0.35">
      <c r="A46" t="s">
        <v>69</v>
      </c>
      <c r="E46">
        <v>400927</v>
      </c>
      <c r="F46">
        <v>485989</v>
      </c>
      <c r="G46">
        <v>411819</v>
      </c>
      <c r="H46">
        <v>482864</v>
      </c>
      <c r="I46">
        <v>557693</v>
      </c>
    </row>
    <row r="47" spans="1:12" x14ac:dyDescent="0.35">
      <c r="A47" t="s">
        <v>70</v>
      </c>
      <c r="E47">
        <f>74704+11154</f>
        <v>85858</v>
      </c>
      <c r="F47">
        <f>63978+4161</f>
        <v>68139</v>
      </c>
      <c r="G47">
        <f>43053+10004</f>
        <v>53057</v>
      </c>
      <c r="H47">
        <f>37735+9163</f>
        <v>46898</v>
      </c>
      <c r="I47">
        <f>34832+20256</f>
        <v>55088</v>
      </c>
    </row>
    <row r="48" spans="1:12" x14ac:dyDescent="0.35">
      <c r="E48">
        <f>+E39+E42+E43+E45+E46+E47+E44</f>
        <v>4809916</v>
      </c>
      <c r="F48">
        <f t="shared" ref="F48:I48" si="9">+F39+F42+F43+F45+F46+F47+F44</f>
        <v>7167777</v>
      </c>
      <c r="G48">
        <f t="shared" si="9"/>
        <v>11503294</v>
      </c>
      <c r="H48">
        <f t="shared" si="9"/>
        <v>12740908</v>
      </c>
      <c r="I48">
        <f t="shared" si="9"/>
        <v>13624764</v>
      </c>
    </row>
    <row r="50" spans="1:12" x14ac:dyDescent="0.35">
      <c r="A50" t="s">
        <v>71</v>
      </c>
    </row>
    <row r="51" spans="1:12" x14ac:dyDescent="0.35">
      <c r="A51" t="s">
        <v>72</v>
      </c>
      <c r="E51">
        <v>265141</v>
      </c>
      <c r="F51">
        <v>167611</v>
      </c>
      <c r="G51">
        <v>437169</v>
      </c>
      <c r="H51">
        <v>445664</v>
      </c>
      <c r="I51">
        <v>261147</v>
      </c>
    </row>
    <row r="52" spans="1:12" x14ac:dyDescent="0.35">
      <c r="A52" t="s">
        <v>73</v>
      </c>
      <c r="E52">
        <v>1732504</v>
      </c>
      <c r="F52">
        <v>2127957</v>
      </c>
      <c r="G52">
        <v>3172874</v>
      </c>
      <c r="H52">
        <v>2702669</v>
      </c>
      <c r="I52">
        <v>2704412</v>
      </c>
    </row>
    <row r="53" spans="1:12" x14ac:dyDescent="0.35">
      <c r="A53" t="s">
        <v>81</v>
      </c>
      <c r="E53">
        <v>527021</v>
      </c>
      <c r="F53">
        <v>753127</v>
      </c>
      <c r="G53">
        <v>2443079</v>
      </c>
      <c r="H53">
        <v>1529691</v>
      </c>
      <c r="I53">
        <v>711921</v>
      </c>
      <c r="J53">
        <v>791452</v>
      </c>
      <c r="K53">
        <v>826926</v>
      </c>
      <c r="L53">
        <v>904576</v>
      </c>
    </row>
    <row r="54" spans="1:12" x14ac:dyDescent="0.35">
      <c r="E54">
        <f>+SUM(E51:E53)</f>
        <v>2524666</v>
      </c>
      <c r="F54">
        <f t="shared" ref="F54:I54" si="10">+SUM(F51:F53)</f>
        <v>3048695</v>
      </c>
      <c r="G54">
        <f t="shared" si="10"/>
        <v>6053122</v>
      </c>
      <c r="H54">
        <f t="shared" si="10"/>
        <v>4678024</v>
      </c>
      <c r="I54">
        <f t="shared" si="10"/>
        <v>3677480</v>
      </c>
    </row>
    <row r="55" spans="1:12" x14ac:dyDescent="0.35">
      <c r="A55" t="s">
        <v>74</v>
      </c>
      <c r="E55">
        <v>1176546</v>
      </c>
      <c r="F55">
        <v>2207436</v>
      </c>
      <c r="G55">
        <f>2948971+21556</f>
        <v>2970527</v>
      </c>
      <c r="H55">
        <f>4311322+29729</f>
        <v>4341051</v>
      </c>
      <c r="I55">
        <f>5861116+21563</f>
        <v>5882679</v>
      </c>
    </row>
    <row r="56" spans="1:12" x14ac:dyDescent="0.35">
      <c r="A56" t="s">
        <v>75</v>
      </c>
      <c r="E56">
        <v>62812</v>
      </c>
      <c r="F56">
        <v>140861</v>
      </c>
      <c r="G56">
        <v>177283</v>
      </c>
      <c r="H56">
        <v>194071</v>
      </c>
      <c r="I56">
        <v>240877</v>
      </c>
    </row>
    <row r="57" spans="1:12" x14ac:dyDescent="0.35">
      <c r="E57">
        <f>+E54+E55+E56</f>
        <v>3764024</v>
      </c>
      <c r="F57">
        <f t="shared" ref="F57:I57" si="11">+F54+F55+F56</f>
        <v>5396992</v>
      </c>
      <c r="G57">
        <f t="shared" si="11"/>
        <v>9200932</v>
      </c>
      <c r="H57">
        <f t="shared" si="11"/>
        <v>9213146</v>
      </c>
      <c r="I57">
        <f t="shared" si="11"/>
        <v>9801036</v>
      </c>
    </row>
    <row r="58" spans="1:12" x14ac:dyDescent="0.35">
      <c r="A58" t="s">
        <v>76</v>
      </c>
    </row>
    <row r="59" spans="1:12" x14ac:dyDescent="0.35">
      <c r="A59" t="s">
        <v>77</v>
      </c>
      <c r="E59">
        <v>708586</v>
      </c>
      <c r="F59">
        <v>1201581</v>
      </c>
      <c r="G59">
        <v>1577110</v>
      </c>
      <c r="H59">
        <v>2077038</v>
      </c>
      <c r="I59">
        <v>2077038</v>
      </c>
    </row>
    <row r="60" spans="1:12" x14ac:dyDescent="0.35">
      <c r="A60" t="s">
        <v>78</v>
      </c>
      <c r="H60">
        <v>276886</v>
      </c>
      <c r="I60">
        <v>276886</v>
      </c>
    </row>
    <row r="61" spans="1:12" x14ac:dyDescent="0.35">
      <c r="A61" t="s">
        <v>79</v>
      </c>
      <c r="E61">
        <v>337260</v>
      </c>
      <c r="F61">
        <v>570348</v>
      </c>
      <c r="G61">
        <v>668232</v>
      </c>
      <c r="H61">
        <v>1147767</v>
      </c>
      <c r="I61">
        <v>1433964</v>
      </c>
    </row>
    <row r="62" spans="1:12" x14ac:dyDescent="0.35">
      <c r="A62" t="s">
        <v>80</v>
      </c>
      <c r="E62">
        <v>46</v>
      </c>
      <c r="F62">
        <v>-1144</v>
      </c>
      <c r="G62">
        <v>57020</v>
      </c>
      <c r="H62">
        <v>122152</v>
      </c>
      <c r="I62">
        <v>131868</v>
      </c>
    </row>
    <row r="63" spans="1:12" x14ac:dyDescent="0.35">
      <c r="H63">
        <v>-96081</v>
      </c>
      <c r="I63">
        <v>-96081</v>
      </c>
    </row>
    <row r="64" spans="1:12" x14ac:dyDescent="0.35">
      <c r="E64">
        <f>+SUM(E59:E63)</f>
        <v>1045892</v>
      </c>
      <c r="F64">
        <f t="shared" ref="F64:I64" si="12">+SUM(F59:F63)</f>
        <v>1770785</v>
      </c>
      <c r="G64">
        <f t="shared" si="12"/>
        <v>2302362</v>
      </c>
      <c r="H64">
        <f t="shared" si="12"/>
        <v>3527762</v>
      </c>
      <c r="I64">
        <f t="shared" si="12"/>
        <v>3823675</v>
      </c>
    </row>
    <row r="65" spans="5:9" x14ac:dyDescent="0.35">
      <c r="E65">
        <f>+E57+E64</f>
        <v>4809916</v>
      </c>
      <c r="F65">
        <f t="shared" ref="F65:I65" si="13">+F57+F64</f>
        <v>7167777</v>
      </c>
      <c r="G65">
        <f t="shared" si="13"/>
        <v>11503294</v>
      </c>
      <c r="H65">
        <f t="shared" si="13"/>
        <v>12740908</v>
      </c>
      <c r="I65">
        <f t="shared" si="13"/>
        <v>13624711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OlamCostofCapital</vt:lpstr>
      <vt:lpstr>Results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mmagnan</dc:creator>
  <cp:lastModifiedBy>mmagnan</cp:lastModifiedBy>
  <dcterms:created xsi:type="dcterms:W3CDTF">2015-09-27T18:32:17Z</dcterms:created>
  <dcterms:modified xsi:type="dcterms:W3CDTF">2015-10-05T00:01:57Z</dcterms:modified>
</cp:coreProperties>
</file>