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3380" windowHeight="4080" activeTab="2"/>
  </bookViews>
  <sheets>
    <sheet name="Capital" sheetId="1" r:id="rId1"/>
    <sheet name="Projections" sheetId="2" r:id="rId2"/>
    <sheet name="Comparables" sheetId="3" r:id="rId3"/>
  </sheets>
  <calcPr calcId="145621"/>
</workbook>
</file>

<file path=xl/calcChain.xml><?xml version="1.0" encoding="utf-8"?>
<calcChain xmlns="http://schemas.openxmlformats.org/spreadsheetml/2006/main">
  <c r="K21" i="3" l="1"/>
  <c r="J21" i="3"/>
  <c r="I21" i="3"/>
  <c r="H21" i="3"/>
  <c r="G21" i="3"/>
  <c r="F21" i="3"/>
  <c r="E21" i="3"/>
  <c r="D21" i="3"/>
  <c r="K19" i="3"/>
  <c r="J19" i="3"/>
  <c r="I19" i="3"/>
  <c r="H19" i="3"/>
  <c r="G19" i="3"/>
  <c r="F19" i="3"/>
  <c r="E19" i="3"/>
  <c r="D19" i="3"/>
  <c r="J139" i="2" l="1"/>
  <c r="T137" i="2"/>
  <c r="S137" i="2"/>
  <c r="J135" i="2"/>
  <c r="S133" i="2"/>
  <c r="R133" i="2"/>
  <c r="Q133" i="2"/>
  <c r="P133" i="2"/>
  <c r="O133" i="2"/>
  <c r="N133" i="2"/>
  <c r="M133" i="2"/>
  <c r="L133" i="2"/>
  <c r="K133" i="2"/>
  <c r="S130" i="2"/>
  <c r="R130" i="2"/>
  <c r="Q130" i="2"/>
  <c r="P130" i="2"/>
  <c r="O130" i="2"/>
  <c r="N130" i="2"/>
  <c r="M130" i="2"/>
  <c r="L130" i="2"/>
  <c r="K130" i="2"/>
  <c r="J130" i="2"/>
  <c r="S132" i="2"/>
  <c r="R132" i="2"/>
  <c r="Q132" i="2"/>
  <c r="P132" i="2"/>
  <c r="O132" i="2"/>
  <c r="N132" i="2"/>
  <c r="M132" i="2"/>
  <c r="L132" i="2"/>
  <c r="K132" i="2"/>
  <c r="J133" i="2"/>
  <c r="J132" i="2"/>
  <c r="K22" i="3" l="1"/>
  <c r="J22" i="3"/>
  <c r="I22" i="3"/>
  <c r="H22" i="3"/>
  <c r="G22" i="3"/>
  <c r="F22" i="3"/>
  <c r="E22" i="3"/>
  <c r="D22" i="3"/>
  <c r="I16" i="3" l="1"/>
  <c r="H16" i="3"/>
  <c r="G16" i="3"/>
  <c r="F16" i="3"/>
  <c r="K16" i="3"/>
  <c r="J16" i="3"/>
  <c r="E16" i="3"/>
  <c r="D16" i="3"/>
  <c r="K17" i="3"/>
  <c r="J17" i="3"/>
  <c r="I17" i="3"/>
  <c r="H17" i="3"/>
  <c r="G17" i="3"/>
  <c r="F17" i="3"/>
  <c r="E17" i="3"/>
  <c r="D17" i="3"/>
  <c r="K15" i="3"/>
  <c r="J15" i="3"/>
  <c r="I15" i="3"/>
  <c r="H15" i="3"/>
  <c r="G15" i="3"/>
  <c r="F15" i="3"/>
  <c r="E15" i="3"/>
  <c r="D15" i="3"/>
  <c r="J140" i="2"/>
  <c r="B39" i="1"/>
  <c r="E32" i="1"/>
  <c r="B31" i="1"/>
  <c r="R137" i="2"/>
  <c r="Q137" i="2"/>
  <c r="P137" i="2"/>
  <c r="O137" i="2"/>
  <c r="N137" i="2"/>
  <c r="M137" i="2"/>
  <c r="L137" i="2"/>
  <c r="K137" i="2"/>
  <c r="J137" i="2"/>
  <c r="L127" i="2"/>
  <c r="M127" i="2" s="1"/>
  <c r="N127" i="2" s="1"/>
  <c r="O127" i="2" s="1"/>
  <c r="P127" i="2" s="1"/>
  <c r="Q127" i="2" s="1"/>
  <c r="R127" i="2" s="1"/>
  <c r="S127" i="2" s="1"/>
  <c r="K127" i="2"/>
  <c r="S131" i="2"/>
  <c r="R131" i="2"/>
  <c r="Q131" i="2"/>
  <c r="P131" i="2"/>
  <c r="O131" i="2"/>
  <c r="N131" i="2"/>
  <c r="M131" i="2"/>
  <c r="L131" i="2"/>
  <c r="K131" i="2"/>
  <c r="J131" i="2"/>
  <c r="S129" i="2"/>
  <c r="R129" i="2"/>
  <c r="Q129" i="2"/>
  <c r="P129" i="2"/>
  <c r="O129" i="2"/>
  <c r="N129" i="2"/>
  <c r="M129" i="2"/>
  <c r="L129" i="2"/>
  <c r="K129" i="2"/>
  <c r="J129" i="2"/>
  <c r="S128" i="2"/>
  <c r="R128" i="2"/>
  <c r="Q128" i="2"/>
  <c r="P128" i="2"/>
  <c r="O128" i="2"/>
  <c r="N128" i="2"/>
  <c r="M128" i="2"/>
  <c r="L128" i="2"/>
  <c r="K128" i="2"/>
  <c r="J128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B45" i="1"/>
  <c r="C46" i="1"/>
  <c r="D37" i="1"/>
  <c r="C37" i="1"/>
  <c r="E44" i="1"/>
  <c r="B43" i="1"/>
  <c r="E29" i="1"/>
  <c r="E28" i="1"/>
  <c r="E27" i="1"/>
  <c r="E25" i="1"/>
  <c r="E24" i="1"/>
  <c r="E23" i="1"/>
  <c r="E22" i="1"/>
  <c r="E21" i="1"/>
  <c r="E20" i="1"/>
  <c r="E18" i="1"/>
  <c r="E17" i="1"/>
  <c r="E14" i="1"/>
  <c r="E13" i="1"/>
  <c r="E12" i="1"/>
  <c r="E11" i="1"/>
  <c r="E10" i="1"/>
  <c r="E9" i="1"/>
  <c r="E8" i="1"/>
  <c r="S59" i="2"/>
  <c r="R59" i="2"/>
  <c r="Q59" i="2"/>
  <c r="P59" i="2"/>
  <c r="O59" i="2"/>
  <c r="N59" i="2"/>
  <c r="M59" i="2"/>
  <c r="L59" i="2"/>
  <c r="K59" i="2"/>
  <c r="J59" i="2"/>
  <c r="G120" i="2"/>
  <c r="F120" i="2"/>
  <c r="J48" i="2"/>
  <c r="K48" i="2" s="1"/>
  <c r="L48" i="2" s="1"/>
  <c r="M48" i="2" s="1"/>
  <c r="N48" i="2" s="1"/>
  <c r="O48" i="2" s="1"/>
  <c r="P48" i="2" s="1"/>
  <c r="Q48" i="2" s="1"/>
  <c r="R48" i="2" s="1"/>
  <c r="S48" i="2" s="1"/>
  <c r="J45" i="2"/>
  <c r="K45" i="2" s="1"/>
  <c r="L45" i="2" s="1"/>
  <c r="J17" i="2"/>
  <c r="J47" i="2" s="1"/>
  <c r="K7" i="2"/>
  <c r="L7" i="2" s="1"/>
  <c r="M7" i="2" s="1"/>
  <c r="N7" i="2" s="1"/>
  <c r="O7" i="2" s="1"/>
  <c r="P7" i="2" s="1"/>
  <c r="Q7" i="2" s="1"/>
  <c r="R7" i="2" s="1"/>
  <c r="S7" i="2" s="1"/>
  <c r="J9" i="2"/>
  <c r="K9" i="2" s="1"/>
  <c r="L9" i="2" s="1"/>
  <c r="M9" i="2" s="1"/>
  <c r="N9" i="2" s="1"/>
  <c r="O9" i="2" s="1"/>
  <c r="P9" i="2" s="1"/>
  <c r="Q9" i="2" s="1"/>
  <c r="R9" i="2" s="1"/>
  <c r="S9" i="2" s="1"/>
  <c r="J8" i="2"/>
  <c r="K8" i="2" s="1"/>
  <c r="L8" i="2" s="1"/>
  <c r="M8" i="2" s="1"/>
  <c r="N8" i="2" s="1"/>
  <c r="O8" i="2" s="1"/>
  <c r="P8" i="2" s="1"/>
  <c r="Q8" i="2" s="1"/>
  <c r="R8" i="2" s="1"/>
  <c r="S8" i="2" s="1"/>
  <c r="J7" i="2"/>
  <c r="J6" i="2"/>
  <c r="K6" i="2" s="1"/>
  <c r="J5" i="2"/>
  <c r="K5" i="2" s="1"/>
  <c r="L5" i="2" s="1"/>
  <c r="N115" i="2"/>
  <c r="O115" i="2"/>
  <c r="P115" i="2"/>
  <c r="Q115" i="2"/>
  <c r="R115" i="2"/>
  <c r="S115" i="2"/>
  <c r="M115" i="2"/>
  <c r="L115" i="2"/>
  <c r="K115" i="2"/>
  <c r="J115" i="2"/>
  <c r="J42" i="2" s="1"/>
  <c r="I58" i="2"/>
  <c r="H58" i="2"/>
  <c r="G58" i="2"/>
  <c r="F58" i="2"/>
  <c r="E58" i="2"/>
  <c r="F87" i="2"/>
  <c r="E87" i="2"/>
  <c r="J141" i="2" l="1"/>
  <c r="J142" i="2" s="1"/>
  <c r="E30" i="1"/>
  <c r="K10" i="2"/>
  <c r="K42" i="2"/>
  <c r="K17" i="2"/>
  <c r="K47" i="2"/>
  <c r="L17" i="2" s="1"/>
  <c r="L42" i="2"/>
  <c r="M5" i="2"/>
  <c r="L6" i="2"/>
  <c r="M6" i="2" s="1"/>
  <c r="N6" i="2" s="1"/>
  <c r="O6" i="2" s="1"/>
  <c r="P6" i="2" s="1"/>
  <c r="Q6" i="2" s="1"/>
  <c r="R6" i="2" s="1"/>
  <c r="S6" i="2" s="1"/>
  <c r="I44" i="2"/>
  <c r="H44" i="2"/>
  <c r="H122" i="2" s="1"/>
  <c r="G44" i="2"/>
  <c r="G122" i="2" s="1"/>
  <c r="F44" i="2"/>
  <c r="F122" i="2" s="1"/>
  <c r="I41" i="2"/>
  <c r="F41" i="2"/>
  <c r="I61" i="2"/>
  <c r="F61" i="2"/>
  <c r="I68" i="2"/>
  <c r="H68" i="2"/>
  <c r="G68" i="2"/>
  <c r="F68" i="2"/>
  <c r="E68" i="2"/>
  <c r="E74" i="2" s="1"/>
  <c r="E61" i="2"/>
  <c r="E44" i="2"/>
  <c r="E122" i="2" s="1"/>
  <c r="I59" i="2"/>
  <c r="H59" i="2"/>
  <c r="G59" i="2"/>
  <c r="I49" i="2"/>
  <c r="J49" i="2" s="1"/>
  <c r="K49" i="2" s="1"/>
  <c r="L49" i="2" s="1"/>
  <c r="M49" i="2" s="1"/>
  <c r="N49" i="2" s="1"/>
  <c r="O49" i="2" s="1"/>
  <c r="P49" i="2" s="1"/>
  <c r="Q49" i="2" s="1"/>
  <c r="R49" i="2" s="1"/>
  <c r="S49" i="2" s="1"/>
  <c r="H49" i="2"/>
  <c r="G49" i="2"/>
  <c r="F49" i="2"/>
  <c r="E49" i="2"/>
  <c r="H41" i="2"/>
  <c r="H50" i="2" s="1"/>
  <c r="G41" i="2"/>
  <c r="G50" i="2" s="1"/>
  <c r="E41" i="2"/>
  <c r="I26" i="2"/>
  <c r="H26" i="2"/>
  <c r="G26" i="2"/>
  <c r="F26" i="2"/>
  <c r="E26" i="2"/>
  <c r="I25" i="2"/>
  <c r="I27" i="2" s="1"/>
  <c r="I28" i="2" s="1"/>
  <c r="H25" i="2"/>
  <c r="G25" i="2"/>
  <c r="G27" i="2" s="1"/>
  <c r="G28" i="2" s="1"/>
  <c r="F25" i="2"/>
  <c r="E25" i="2"/>
  <c r="E27" i="2" s="1"/>
  <c r="E28" i="2" s="1"/>
  <c r="J10" i="2"/>
  <c r="I10" i="2"/>
  <c r="H10" i="2"/>
  <c r="H81" i="2" s="1"/>
  <c r="G10" i="2"/>
  <c r="G81" i="2" s="1"/>
  <c r="F10" i="2"/>
  <c r="E10" i="2"/>
  <c r="F81" i="2" l="1"/>
  <c r="J14" i="2"/>
  <c r="J12" i="2"/>
  <c r="J15" i="2"/>
  <c r="F27" i="2"/>
  <c r="F28" i="2" s="1"/>
  <c r="E50" i="2"/>
  <c r="E81" i="2" s="1"/>
  <c r="E83" i="2" s="1"/>
  <c r="E85" i="2" s="1"/>
  <c r="E86" i="2" s="1"/>
  <c r="E88" i="2" s="1"/>
  <c r="E89" i="2" s="1"/>
  <c r="G87" i="2"/>
  <c r="H120" i="2"/>
  <c r="E69" i="2"/>
  <c r="F50" i="2"/>
  <c r="I81" i="2"/>
  <c r="H87" i="2"/>
  <c r="I120" i="2"/>
  <c r="I50" i="2"/>
  <c r="J16" i="2"/>
  <c r="I122" i="2"/>
  <c r="L10" i="2"/>
  <c r="K57" i="2"/>
  <c r="K13" i="2"/>
  <c r="K12" i="2"/>
  <c r="K54" i="2"/>
  <c r="K15" i="2"/>
  <c r="K40" i="2"/>
  <c r="K39" i="2"/>
  <c r="K37" i="2"/>
  <c r="K36" i="2"/>
  <c r="K14" i="2"/>
  <c r="H27" i="2"/>
  <c r="H28" i="2" s="1"/>
  <c r="I87" i="2"/>
  <c r="J18" i="2"/>
  <c r="H61" i="2"/>
  <c r="L47" i="2"/>
  <c r="M17" i="2"/>
  <c r="M47" i="2" s="1"/>
  <c r="M10" i="2"/>
  <c r="N5" i="2"/>
  <c r="J37" i="2"/>
  <c r="J40" i="2"/>
  <c r="J36" i="2"/>
  <c r="J57" i="2"/>
  <c r="J39" i="2"/>
  <c r="J54" i="2"/>
  <c r="G76" i="2"/>
  <c r="G75" i="2"/>
  <c r="F76" i="2"/>
  <c r="F75" i="2"/>
  <c r="H76" i="2"/>
  <c r="H75" i="2"/>
  <c r="I76" i="2"/>
  <c r="I75" i="2"/>
  <c r="E76" i="2"/>
  <c r="F82" i="2"/>
  <c r="F83" i="2"/>
  <c r="F85" i="2" s="1"/>
  <c r="F78" i="2"/>
  <c r="F77" i="2"/>
  <c r="H82" i="2"/>
  <c r="H83" i="2"/>
  <c r="H85" i="2" s="1"/>
  <c r="H86" i="2" s="1"/>
  <c r="H88" i="2" s="1"/>
  <c r="H89" i="2" s="1"/>
  <c r="H78" i="2"/>
  <c r="H77" i="2"/>
  <c r="G74" i="2"/>
  <c r="G61" i="2"/>
  <c r="G69" i="2" s="1"/>
  <c r="E82" i="2"/>
  <c r="E78" i="2"/>
  <c r="E77" i="2"/>
  <c r="I82" i="2"/>
  <c r="I78" i="2"/>
  <c r="I77" i="2"/>
  <c r="H69" i="2"/>
  <c r="H74" i="2"/>
  <c r="I69" i="2"/>
  <c r="I74" i="2"/>
  <c r="G82" i="2"/>
  <c r="G78" i="2"/>
  <c r="G77" i="2"/>
  <c r="F69" i="2"/>
  <c r="F74" i="2"/>
  <c r="B15" i="1"/>
  <c r="B30" i="1"/>
  <c r="J53" i="2" l="1"/>
  <c r="J38" i="2"/>
  <c r="J41" i="2" s="1"/>
  <c r="J13" i="2"/>
  <c r="L54" i="2"/>
  <c r="L15" i="2"/>
  <c r="L40" i="2"/>
  <c r="L39" i="2"/>
  <c r="L37" i="2"/>
  <c r="L36" i="2"/>
  <c r="L14" i="2"/>
  <c r="L57" i="2"/>
  <c r="L12" i="2"/>
  <c r="E75" i="2"/>
  <c r="K53" i="2"/>
  <c r="K38" i="2"/>
  <c r="K41" i="2" s="1"/>
  <c r="M54" i="2"/>
  <c r="M15" i="2"/>
  <c r="M40" i="2"/>
  <c r="M39" i="2"/>
  <c r="M37" i="2"/>
  <c r="M36" i="2"/>
  <c r="M14" i="2"/>
  <c r="M57" i="2"/>
  <c r="M12" i="2"/>
  <c r="M45" i="2"/>
  <c r="K25" i="2"/>
  <c r="J43" i="2"/>
  <c r="J26" i="2"/>
  <c r="M42" i="2"/>
  <c r="N17" i="2"/>
  <c r="N47" i="2" s="1"/>
  <c r="N10" i="2"/>
  <c r="O5" i="2"/>
  <c r="F86" i="2"/>
  <c r="F88" i="2" s="1"/>
  <c r="F89" i="2" s="1"/>
  <c r="G83" i="2"/>
  <c r="G85" i="2" s="1"/>
  <c r="I83" i="2"/>
  <c r="I85" i="2" s="1"/>
  <c r="I86" i="2" s="1"/>
  <c r="I88" i="2" s="1"/>
  <c r="I89" i="2" s="1"/>
  <c r="N40" i="2" l="1"/>
  <c r="N39" i="2"/>
  <c r="N37" i="2"/>
  <c r="N36" i="2"/>
  <c r="N14" i="2"/>
  <c r="N57" i="2"/>
  <c r="N12" i="2"/>
  <c r="N54" i="2"/>
  <c r="N15" i="2"/>
  <c r="L53" i="2"/>
  <c r="L38" i="2"/>
  <c r="N42" i="2"/>
  <c r="N45" i="2"/>
  <c r="O45" i="2" s="1"/>
  <c r="L13" i="2"/>
  <c r="L25" i="2" s="1"/>
  <c r="L41" i="2"/>
  <c r="M53" i="2"/>
  <c r="M38" i="2"/>
  <c r="M41" i="2" s="1"/>
  <c r="J44" i="2"/>
  <c r="M13" i="2"/>
  <c r="M25" i="2" s="1"/>
  <c r="J25" i="2"/>
  <c r="J27" i="2" s="1"/>
  <c r="J28" i="2" s="1"/>
  <c r="J21" i="2"/>
  <c r="J22" i="2" s="1"/>
  <c r="J23" i="2" s="1"/>
  <c r="J65" i="2" s="1"/>
  <c r="O17" i="2"/>
  <c r="O47" i="2" s="1"/>
  <c r="O10" i="2"/>
  <c r="P5" i="2"/>
  <c r="G86" i="2"/>
  <c r="G88" i="2" s="1"/>
  <c r="G89" i="2" s="1"/>
  <c r="N38" i="2" l="1"/>
  <c r="N53" i="2"/>
  <c r="N41" i="2"/>
  <c r="K16" i="2"/>
  <c r="J60" i="2"/>
  <c r="N13" i="2"/>
  <c r="N25" i="2" s="1"/>
  <c r="J50" i="2"/>
  <c r="O57" i="2"/>
  <c r="O12" i="2"/>
  <c r="O13" i="2" s="1"/>
  <c r="O25" i="2" s="1"/>
  <c r="O54" i="2"/>
  <c r="O15" i="2"/>
  <c r="O40" i="2"/>
  <c r="O39" i="2"/>
  <c r="O37" i="2"/>
  <c r="O36" i="2"/>
  <c r="O14" i="2"/>
  <c r="O42" i="2"/>
  <c r="P42" i="2" s="1"/>
  <c r="P17" i="2"/>
  <c r="P47" i="2" s="1"/>
  <c r="P10" i="2"/>
  <c r="Q5" i="2"/>
  <c r="P54" i="2" l="1"/>
  <c r="P15" i="2"/>
  <c r="P40" i="2"/>
  <c r="P39" i="2"/>
  <c r="P37" i="2"/>
  <c r="P36" i="2"/>
  <c r="P14" i="2"/>
  <c r="P57" i="2"/>
  <c r="P12" i="2"/>
  <c r="P13" i="2" s="1"/>
  <c r="P25" i="2" s="1"/>
  <c r="P45" i="2"/>
  <c r="K26" i="2"/>
  <c r="K27" i="2" s="1"/>
  <c r="K28" i="2" s="1"/>
  <c r="K43" i="2"/>
  <c r="O53" i="2"/>
  <c r="O38" i="2"/>
  <c r="O41" i="2" s="1"/>
  <c r="Q17" i="2"/>
  <c r="Q47" i="2" s="1"/>
  <c r="Q10" i="2"/>
  <c r="R5" i="2"/>
  <c r="Q54" i="2" l="1"/>
  <c r="Q15" i="2"/>
  <c r="Q40" i="2"/>
  <c r="Q39" i="2"/>
  <c r="Q37" i="2"/>
  <c r="Q36" i="2"/>
  <c r="Q14" i="2"/>
  <c r="Q57" i="2"/>
  <c r="Q13" i="2"/>
  <c r="Q12" i="2"/>
  <c r="K44" i="2"/>
  <c r="P41" i="2"/>
  <c r="Q45" i="2"/>
  <c r="P53" i="2"/>
  <c r="P38" i="2"/>
  <c r="Q42" i="2"/>
  <c r="R42" i="2" s="1"/>
  <c r="R17" i="2"/>
  <c r="R47" i="2" s="1"/>
  <c r="R10" i="2"/>
  <c r="S5" i="2"/>
  <c r="S10" i="2" s="1"/>
  <c r="R40" i="2" l="1"/>
  <c r="R39" i="2"/>
  <c r="R37" i="2"/>
  <c r="R36" i="2"/>
  <c r="R14" i="2"/>
  <c r="R57" i="2"/>
  <c r="R12" i="2"/>
  <c r="R54" i="2"/>
  <c r="R15" i="2"/>
  <c r="R45" i="2"/>
  <c r="Q53" i="2"/>
  <c r="Q38" i="2"/>
  <c r="Q41" i="2"/>
  <c r="Q25" i="2"/>
  <c r="L16" i="2"/>
  <c r="K60" i="2"/>
  <c r="K50" i="2"/>
  <c r="S40" i="2"/>
  <c r="S36" i="2"/>
  <c r="S15" i="2"/>
  <c r="S13" i="2"/>
  <c r="S25" i="2" s="1"/>
  <c r="S54" i="2"/>
  <c r="S39" i="2"/>
  <c r="S12" i="2"/>
  <c r="S57" i="2"/>
  <c r="S14" i="2"/>
  <c r="S37" i="2"/>
  <c r="S45" i="2"/>
  <c r="S42" i="2"/>
  <c r="S17" i="2"/>
  <c r="S47" i="2"/>
  <c r="L26" i="2" l="1"/>
  <c r="L27" i="2" s="1"/>
  <c r="L28" i="2" s="1"/>
  <c r="L43" i="2"/>
  <c r="L44" i="2" s="1"/>
  <c r="R38" i="2"/>
  <c r="R53" i="2"/>
  <c r="R41" i="2"/>
  <c r="R13" i="2"/>
  <c r="R25" i="2" s="1"/>
  <c r="S53" i="2"/>
  <c r="S38" i="2"/>
  <c r="S41" i="2"/>
  <c r="L60" i="2" l="1"/>
  <c r="M16" i="2"/>
  <c r="L50" i="2"/>
  <c r="M43" i="2" l="1"/>
  <c r="M26" i="2"/>
  <c r="M27" i="2" s="1"/>
  <c r="M28" i="2" s="1"/>
  <c r="M44" i="2" l="1"/>
  <c r="M60" i="2" l="1"/>
  <c r="N16" i="2"/>
  <c r="M50" i="2"/>
  <c r="N26" i="2" l="1"/>
  <c r="N27" i="2" s="1"/>
  <c r="N28" i="2" s="1"/>
  <c r="N43" i="2"/>
  <c r="N44" i="2" l="1"/>
  <c r="N60" i="2" l="1"/>
  <c r="O16" i="2"/>
  <c r="N50" i="2"/>
  <c r="O26" i="2" l="1"/>
  <c r="O27" i="2" s="1"/>
  <c r="O28" i="2" s="1"/>
  <c r="O43" i="2"/>
  <c r="J68" i="2"/>
  <c r="J55" i="2" l="1"/>
  <c r="O44" i="2"/>
  <c r="K18" i="2" l="1"/>
  <c r="K21" i="2" s="1"/>
  <c r="K22" i="2" s="1"/>
  <c r="K23" i="2" s="1"/>
  <c r="K65" i="2" s="1"/>
  <c r="J58" i="2"/>
  <c r="J61" i="2" s="1"/>
  <c r="J69" i="2" s="1"/>
  <c r="O60" i="2"/>
  <c r="O50" i="2"/>
  <c r="P16" i="2"/>
  <c r="P26" i="2" l="1"/>
  <c r="P27" i="2" s="1"/>
  <c r="P28" i="2" s="1"/>
  <c r="P43" i="2"/>
  <c r="K68" i="2"/>
  <c r="K55" i="2" l="1"/>
  <c r="P44" i="2"/>
  <c r="P60" i="2" l="1"/>
  <c r="Q16" i="2"/>
  <c r="P50" i="2"/>
  <c r="K58" i="2"/>
  <c r="K61" i="2" s="1"/>
  <c r="K69" i="2" s="1"/>
  <c r="L18" i="2"/>
  <c r="L21" i="2" s="1"/>
  <c r="L22" i="2" s="1"/>
  <c r="L23" i="2" s="1"/>
  <c r="L65" i="2" s="1"/>
  <c r="L68" i="2" s="1"/>
  <c r="L55" i="2" s="1"/>
  <c r="Q26" i="2" l="1"/>
  <c r="Q27" i="2" s="1"/>
  <c r="Q28" i="2" s="1"/>
  <c r="Q43" i="2"/>
  <c r="L58" i="2"/>
  <c r="L61" i="2" s="1"/>
  <c r="L69" i="2" s="1"/>
  <c r="M18" i="2"/>
  <c r="M21" i="2" s="1"/>
  <c r="M22" i="2" s="1"/>
  <c r="M23" i="2" s="1"/>
  <c r="M65" i="2" s="1"/>
  <c r="M68" i="2" s="1"/>
  <c r="M55" i="2" s="1"/>
  <c r="Q44" i="2" l="1"/>
  <c r="M58" i="2"/>
  <c r="M61" i="2" s="1"/>
  <c r="M69" i="2" s="1"/>
  <c r="N18" i="2"/>
  <c r="N21" i="2" s="1"/>
  <c r="N22" i="2" s="1"/>
  <c r="N23" i="2" s="1"/>
  <c r="N65" i="2" s="1"/>
  <c r="N68" i="2" s="1"/>
  <c r="N55" i="2" s="1"/>
  <c r="N58" i="2" l="1"/>
  <c r="N61" i="2" s="1"/>
  <c r="N69" i="2" s="1"/>
  <c r="O18" i="2"/>
  <c r="O21" i="2" s="1"/>
  <c r="O22" i="2" s="1"/>
  <c r="O23" i="2" s="1"/>
  <c r="O65" i="2" s="1"/>
  <c r="O68" i="2" s="1"/>
  <c r="O55" i="2" s="1"/>
  <c r="Q60" i="2"/>
  <c r="R16" i="2"/>
  <c r="Q50" i="2"/>
  <c r="R26" i="2" l="1"/>
  <c r="R27" i="2" s="1"/>
  <c r="R28" i="2" s="1"/>
  <c r="R43" i="2"/>
  <c r="P18" i="2"/>
  <c r="P21" i="2" s="1"/>
  <c r="P22" i="2" s="1"/>
  <c r="P23" i="2" s="1"/>
  <c r="P65" i="2" s="1"/>
  <c r="P68" i="2" s="1"/>
  <c r="P55" i="2" s="1"/>
  <c r="O58" i="2"/>
  <c r="O61" i="2" s="1"/>
  <c r="O69" i="2" s="1"/>
  <c r="Q18" i="2" l="1"/>
  <c r="Q21" i="2" s="1"/>
  <c r="Q22" i="2" s="1"/>
  <c r="Q23" i="2" s="1"/>
  <c r="Q65" i="2" s="1"/>
  <c r="Q68" i="2" s="1"/>
  <c r="Q55" i="2" s="1"/>
  <c r="P58" i="2"/>
  <c r="P61" i="2" s="1"/>
  <c r="P69" i="2" s="1"/>
  <c r="R44" i="2"/>
  <c r="R60" i="2" l="1"/>
  <c r="S16" i="2"/>
  <c r="R50" i="2"/>
  <c r="Q58" i="2"/>
  <c r="Q61" i="2" s="1"/>
  <c r="Q69" i="2" s="1"/>
  <c r="R18" i="2"/>
  <c r="R21" i="2" s="1"/>
  <c r="R22" i="2" s="1"/>
  <c r="R23" i="2" s="1"/>
  <c r="R65" i="2" s="1"/>
  <c r="R68" i="2" s="1"/>
  <c r="S26" i="2" l="1"/>
  <c r="S27" i="2" s="1"/>
  <c r="S28" i="2" s="1"/>
  <c r="S43" i="2"/>
  <c r="S44" i="2" s="1"/>
  <c r="R55" i="2"/>
  <c r="S18" i="2" l="1"/>
  <c r="S21" i="2" s="1"/>
  <c r="S22" i="2" s="1"/>
  <c r="S23" i="2" s="1"/>
  <c r="S65" i="2" s="1"/>
  <c r="S68" i="2" s="1"/>
  <c r="R58" i="2"/>
  <c r="R61" i="2" s="1"/>
  <c r="R69" i="2" s="1"/>
  <c r="S50" i="2"/>
  <c r="S60" i="2"/>
  <c r="S55" i="2" l="1"/>
  <c r="S58" i="2" s="1"/>
  <c r="S61" i="2" s="1"/>
  <c r="S69" i="2" s="1"/>
</calcChain>
</file>

<file path=xl/sharedStrings.xml><?xml version="1.0" encoding="utf-8"?>
<sst xmlns="http://schemas.openxmlformats.org/spreadsheetml/2006/main" count="233" uniqueCount="188">
  <si>
    <t>Amount</t>
  </si>
  <si>
    <t>Estimated</t>
  </si>
  <si>
    <t>Interest</t>
  </si>
  <si>
    <t>Rate (%)</t>
  </si>
  <si>
    <t>Olam's Borrowings and Estimated Interest Rates for FY2013</t>
  </si>
  <si>
    <t>Current</t>
  </si>
  <si>
    <t>Bank overdrafts</t>
  </si>
  <si>
    <t>Bank loans (company)</t>
  </si>
  <si>
    <t>Bank loans (subsidiaries)</t>
  </si>
  <si>
    <t>Term loans from banks (company)</t>
  </si>
  <si>
    <t>Medium-term notes (2.5%)</t>
  </si>
  <si>
    <t>Obligation under finance leases</t>
  </si>
  <si>
    <t>Convertible bonds</t>
  </si>
  <si>
    <t>Non-curent</t>
  </si>
  <si>
    <t>Term loans from banks (subsidiaries)</t>
  </si>
  <si>
    <t>Medium-term notes</t>
  </si>
  <si>
    <t>Convertible bonds 6%</t>
  </si>
  <si>
    <t>Other bonds</t>
  </si>
  <si>
    <t>7.5% unsecured senior bonds</t>
  </si>
  <si>
    <t>Outspan Ivoire SA bonds</t>
  </si>
  <si>
    <t>6.75% bonds</t>
  </si>
  <si>
    <t>($000)</t>
  </si>
  <si>
    <t>Number of shares outstanding</t>
  </si>
  <si>
    <t>Closing price on March 31, 2014</t>
  </si>
  <si>
    <t>Target Debt/Equity Ratio</t>
  </si>
  <si>
    <t>Equity Beta</t>
  </si>
  <si>
    <t>Marginal Tax Rate</t>
  </si>
  <si>
    <t>Olam's Income Statement and Revenues Streams 2009-2013 ($000)</t>
  </si>
  <si>
    <t>Revenues</t>
  </si>
  <si>
    <t>Edible Nuts, Spices &amp; Beans</t>
  </si>
  <si>
    <t>Confectionary &amp; Beverage Ingredients</t>
  </si>
  <si>
    <t>Food Staples &amp; Packaged Foods</t>
  </si>
  <si>
    <t>Industrial Raw Materials</t>
  </si>
  <si>
    <t>Commodity Financial Services</t>
  </si>
  <si>
    <t>Cost of goods sold</t>
  </si>
  <si>
    <t>Gross Profit</t>
  </si>
  <si>
    <t>Other operating revenue</t>
  </si>
  <si>
    <t>Operating expenses</t>
  </si>
  <si>
    <t>Depreciation</t>
  </si>
  <si>
    <t>Amortization of intangibles</t>
  </si>
  <si>
    <t>Interest expense</t>
  </si>
  <si>
    <t>Net Operating gains (losses)</t>
  </si>
  <si>
    <t>F/X gains(losses)</t>
  </si>
  <si>
    <t>Income before Tax</t>
  </si>
  <si>
    <t>Income Tax</t>
  </si>
  <si>
    <t>Income after Tax</t>
  </si>
  <si>
    <t>2009A</t>
  </si>
  <si>
    <t>2010A</t>
  </si>
  <si>
    <t>2011A</t>
  </si>
  <si>
    <t>2012A</t>
  </si>
  <si>
    <t>2013A</t>
  </si>
  <si>
    <t>2014F</t>
  </si>
  <si>
    <t>2015F</t>
  </si>
  <si>
    <t>2016F</t>
  </si>
  <si>
    <t>EBITDA</t>
  </si>
  <si>
    <t>Depreciation and amortization</t>
  </si>
  <si>
    <t>EBIT</t>
  </si>
  <si>
    <t>After-tax EBIT</t>
  </si>
  <si>
    <t>Olam's Statement of Financial Position ($000)</t>
  </si>
  <si>
    <t>Assets</t>
  </si>
  <si>
    <t>Cash</t>
  </si>
  <si>
    <t>Other Receivables</t>
  </si>
  <si>
    <t>Other current assets</t>
  </si>
  <si>
    <t>PPE (Gross)</t>
  </si>
  <si>
    <t>Accumulated Depreciation</t>
  </si>
  <si>
    <t>PPE (Net)</t>
  </si>
  <si>
    <t>Intangibles (Net)</t>
  </si>
  <si>
    <t>Biological assets (Net)</t>
  </si>
  <si>
    <t>Investments</t>
  </si>
  <si>
    <t>Other assets</t>
  </si>
  <si>
    <t>Liabilities</t>
  </si>
  <si>
    <t>Notes payable</t>
  </si>
  <si>
    <t>Current portion of LT debt</t>
  </si>
  <si>
    <t>LT Debt and Lease obligations</t>
  </si>
  <si>
    <t>Deferred tax liabilities</t>
  </si>
  <si>
    <t>Equity</t>
  </si>
  <si>
    <t>Share capital</t>
  </si>
  <si>
    <t>Perpetual capital</t>
  </si>
  <si>
    <t>Reserves</t>
  </si>
  <si>
    <t>Non-controlling interests</t>
  </si>
  <si>
    <t>Other current liabilities</t>
  </si>
  <si>
    <t>Goodwill (Net)</t>
  </si>
  <si>
    <t>Dupont Formula</t>
  </si>
  <si>
    <t>ROE</t>
  </si>
  <si>
    <t>Assets/Equity</t>
  </si>
  <si>
    <t>ROA</t>
  </si>
  <si>
    <t>Sales/Assets</t>
  </si>
  <si>
    <t>Earnings/Sales</t>
  </si>
  <si>
    <t>KEY RATIOS</t>
  </si>
  <si>
    <t>Healy &amp; Palepu's Formula</t>
  </si>
  <si>
    <t>Net Operating Profit Margin</t>
  </si>
  <si>
    <t>Return on Net Operating Assets</t>
  </si>
  <si>
    <t>Sales/Net Operating Assets</t>
  </si>
  <si>
    <t>ASSUMPTIONS</t>
  </si>
  <si>
    <t>Spread</t>
  </si>
  <si>
    <t>Financial Leverage</t>
  </si>
  <si>
    <t>Financial Leverage Gain</t>
  </si>
  <si>
    <t>Return on Investment Assets</t>
  </si>
  <si>
    <t>Return on Business Assets</t>
  </si>
  <si>
    <t>Edible Nuts</t>
  </si>
  <si>
    <t>Confectionary</t>
  </si>
  <si>
    <t>Food Staples</t>
  </si>
  <si>
    <t>Commodity</t>
  </si>
  <si>
    <t>Sales Growth Forecasts</t>
  </si>
  <si>
    <t>Other Assumptions</t>
  </si>
  <si>
    <t>Accounts receivable</t>
  </si>
  <si>
    <t>Other receivables (days of sales)</t>
  </si>
  <si>
    <t>Accounts receivable (days of sale)</t>
  </si>
  <si>
    <t>Inventories</t>
  </si>
  <si>
    <t>Inventories (days of COGS)</t>
  </si>
  <si>
    <t>Prepaid (% of sales)</t>
  </si>
  <si>
    <t>Other current assets (% of sales)</t>
  </si>
  <si>
    <t>Accounts payable (days of COGS)</t>
  </si>
  <si>
    <t>Accrued expenses (% of sales)</t>
  </si>
  <si>
    <t>Other current liabilities (% of sales)</t>
  </si>
  <si>
    <t>Prepaid expenses</t>
  </si>
  <si>
    <t>Accounts payable</t>
  </si>
  <si>
    <t>Accrued expenses</t>
  </si>
  <si>
    <t>Cost of goods sold (% of sales)</t>
  </si>
  <si>
    <t>Other operating revenue (% of sales)</t>
  </si>
  <si>
    <t>Operating expenses (% of sales)</t>
  </si>
  <si>
    <t>Amortization (% of lagged net Intangibles)</t>
  </si>
  <si>
    <t>Depreciation (% of lagged net PPE)</t>
  </si>
  <si>
    <t>Total Capex (net of disposals) (% of sales after 2016)</t>
  </si>
  <si>
    <t>Goodwill investment</t>
  </si>
  <si>
    <t>Capex PPE Capex (%)</t>
  </si>
  <si>
    <t>Capex Biological Assets Capex (%)</t>
  </si>
  <si>
    <t>Intangibles investment</t>
  </si>
  <si>
    <t>2017F</t>
  </si>
  <si>
    <t>2018F</t>
  </si>
  <si>
    <t>2019F</t>
  </si>
  <si>
    <t>2020F</t>
  </si>
  <si>
    <t>2021F</t>
  </si>
  <si>
    <t>2022F</t>
  </si>
  <si>
    <t>2023F</t>
  </si>
  <si>
    <t>Income Tax rate</t>
  </si>
  <si>
    <t>Net interest expense (% of lagged net interest-paying debt)</t>
  </si>
  <si>
    <t>Deferred tax liability (% Net PPE, intangibles,</t>
  </si>
  <si>
    <t xml:space="preserve"> goodwill, biological assets)</t>
  </si>
  <si>
    <t>Payment</t>
  </si>
  <si>
    <t>Cost of debt</t>
  </si>
  <si>
    <t>Cost of equity</t>
  </si>
  <si>
    <t>TOTAL DEBT</t>
  </si>
  <si>
    <t>EQUITY VALUE</t>
  </si>
  <si>
    <t>EQUITY VALUE (000)</t>
  </si>
  <si>
    <t>Risk-free rate</t>
  </si>
  <si>
    <t>Equity risk premium</t>
  </si>
  <si>
    <t>Unlevered Beta</t>
  </si>
  <si>
    <t>Debt Beta</t>
  </si>
  <si>
    <t>Cost of Capital (Estimated)</t>
  </si>
  <si>
    <t>DCF Valuation (Enterprise Value)</t>
  </si>
  <si>
    <t>TOTAL ENTERPRISE VALUE</t>
  </si>
  <si>
    <t>Income Tax Expense on EBIT</t>
  </si>
  <si>
    <t>Income Taxes</t>
  </si>
  <si>
    <t>Capital expenditures</t>
  </si>
  <si>
    <t>FREE CASH FLOW</t>
  </si>
  <si>
    <t>Estimated Cost of Capital</t>
  </si>
  <si>
    <t>NPV</t>
  </si>
  <si>
    <t>SUM OF DISCOUNTED FREE CASH FLOWS</t>
  </si>
  <si>
    <t xml:space="preserve">Less: Net Debt </t>
  </si>
  <si>
    <t>EQUITY VALUE PER SHARE</t>
  </si>
  <si>
    <t>Wilmar International</t>
  </si>
  <si>
    <t>Noble Group</t>
  </si>
  <si>
    <t>Bunge</t>
  </si>
  <si>
    <t>ADM</t>
  </si>
  <si>
    <t>ConAgra</t>
  </si>
  <si>
    <t>Itochu</t>
  </si>
  <si>
    <t>Monsanto</t>
  </si>
  <si>
    <t>China Agri</t>
  </si>
  <si>
    <t>Nestle</t>
  </si>
  <si>
    <t>EV/Sales</t>
  </si>
  <si>
    <t>2014E</t>
  </si>
  <si>
    <t>2015E</t>
  </si>
  <si>
    <t>EV/EBITDA</t>
  </si>
  <si>
    <t>Price/</t>
  </si>
  <si>
    <t>Earnings</t>
  </si>
  <si>
    <t>Sales</t>
  </si>
  <si>
    <t>Average</t>
  </si>
  <si>
    <t>Average without hi/lo</t>
  </si>
  <si>
    <t>Median</t>
  </si>
  <si>
    <t>OLAM (Market Values)</t>
  </si>
  <si>
    <t>Net change in operating working capital</t>
  </si>
  <si>
    <t>EBITDA after Taxes</t>
  </si>
  <si>
    <t>Terminal</t>
  </si>
  <si>
    <t>Value</t>
  </si>
  <si>
    <t>Average - Singapore firms</t>
  </si>
  <si>
    <t>Average - All except Nestle, ADM</t>
  </si>
  <si>
    <t xml:space="preserve">                  Monsanto, Itochu, ConAgra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</si>
</sst>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* #,##0.000_-;\-* #,##0.000_-;_-* &quot;-&quot;??_-;_-@_-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9" fontId="0" fillId="0" borderId="0" xfId="0" applyNumberFormat="1"/>
    <xf numFmtId="10" fontId="0" fillId="0" borderId="0" xfId="0" applyNumberFormat="1"/>
    <xf numFmtId="6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2" fillId="0" borderId="0" xfId="0" applyFont="1"/>
    <xf numFmtId="43" fontId="0" fillId="0" borderId="0" xfId="1" applyNumberFormat="1" applyFont="1"/>
    <xf numFmtId="44" fontId="0" fillId="0" borderId="0" xfId="2" applyFont="1"/>
    <xf numFmtId="164" fontId="0" fillId="0" borderId="0" xfId="0" applyNumberFormat="1"/>
    <xf numFmtId="43" fontId="0" fillId="0" borderId="0" xfId="0" applyNumberForma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167" fontId="0" fillId="0" borderId="0" xfId="3" applyNumberFormat="1" applyFont="1"/>
    <xf numFmtId="44" fontId="2" fillId="0" borderId="0" xfId="0" applyNumberFormat="1" applyFont="1"/>
    <xf numFmtId="167" fontId="2" fillId="0" borderId="0" xfId="3" applyNumberFormat="1" applyFont="1"/>
    <xf numFmtId="2" fontId="0" fillId="0" borderId="0" xfId="3" applyNumberFormat="1" applyFont="1"/>
    <xf numFmtId="44" fontId="0" fillId="0" borderId="0" xfId="0" applyNumberFormat="1"/>
    <xf numFmtId="2" fontId="3" fillId="0" borderId="0" xfId="4" applyNumberFormat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3" workbookViewId="0">
      <selection activeCell="C46" sqref="C46"/>
    </sheetView>
  </sheetViews>
  <sheetFormatPr defaultRowHeight="14.5" x14ac:dyDescent="0.35"/>
  <cols>
    <col min="1" max="1" width="32.6328125" customWidth="1"/>
    <col min="2" max="2" width="17.453125" bestFit="1" customWidth="1"/>
    <col min="5" max="5" width="11.08984375" bestFit="1" customWidth="1"/>
  </cols>
  <sheetData>
    <row r="1" spans="1:5" x14ac:dyDescent="0.35">
      <c r="A1" s="8" t="s">
        <v>4</v>
      </c>
    </row>
    <row r="3" spans="1:5" x14ac:dyDescent="0.35">
      <c r="B3" s="4" t="s">
        <v>0</v>
      </c>
      <c r="C3" s="4" t="s">
        <v>1</v>
      </c>
      <c r="E3" t="s">
        <v>2</v>
      </c>
    </row>
    <row r="4" spans="1:5" x14ac:dyDescent="0.35">
      <c r="B4" s="3" t="s">
        <v>21</v>
      </c>
      <c r="C4" s="4" t="s">
        <v>2</v>
      </c>
      <c r="E4" t="s">
        <v>139</v>
      </c>
    </row>
    <row r="5" spans="1:5" x14ac:dyDescent="0.35">
      <c r="B5" s="4"/>
      <c r="C5" s="4" t="s">
        <v>3</v>
      </c>
    </row>
    <row r="7" spans="1:5" x14ac:dyDescent="0.35">
      <c r="A7" t="s">
        <v>5</v>
      </c>
    </row>
    <row r="8" spans="1:5" x14ac:dyDescent="0.35">
      <c r="A8" t="s">
        <v>6</v>
      </c>
      <c r="B8" s="5">
        <v>262147</v>
      </c>
      <c r="C8" s="7">
        <v>0.121</v>
      </c>
      <c r="E8" s="5">
        <f>+C8*B8</f>
        <v>31719.787</v>
      </c>
    </row>
    <row r="9" spans="1:5" x14ac:dyDescent="0.35">
      <c r="A9" t="s">
        <v>7</v>
      </c>
      <c r="B9" s="5">
        <v>164371</v>
      </c>
      <c r="C9" s="7">
        <v>1.3899999999999999E-2</v>
      </c>
      <c r="E9" s="5">
        <f t="shared" ref="E9:E29" si="0">+C9*B9</f>
        <v>2284.7568999999999</v>
      </c>
    </row>
    <row r="10" spans="1:5" x14ac:dyDescent="0.35">
      <c r="A10" t="s">
        <v>8</v>
      </c>
      <c r="B10" s="5">
        <v>1951506</v>
      </c>
      <c r="C10" s="7">
        <v>0.121</v>
      </c>
      <c r="E10" s="5">
        <f t="shared" si="0"/>
        <v>236132.226</v>
      </c>
    </row>
    <row r="11" spans="1:5" x14ac:dyDescent="0.35">
      <c r="A11" t="s">
        <v>9</v>
      </c>
      <c r="B11" s="5">
        <v>308522</v>
      </c>
      <c r="C11" s="7">
        <v>2.92E-2</v>
      </c>
      <c r="E11" s="5">
        <f t="shared" si="0"/>
        <v>9008.8423999999995</v>
      </c>
    </row>
    <row r="12" spans="1:5" x14ac:dyDescent="0.35">
      <c r="A12" t="s">
        <v>10</v>
      </c>
      <c r="B12" s="5">
        <v>248055</v>
      </c>
      <c r="C12" s="7">
        <v>2.5000000000000001E-2</v>
      </c>
      <c r="E12" s="5">
        <f t="shared" si="0"/>
        <v>6201.375</v>
      </c>
    </row>
    <row r="13" spans="1:5" x14ac:dyDescent="0.35">
      <c r="A13" t="s">
        <v>11</v>
      </c>
      <c r="B13" s="5">
        <v>4403</v>
      </c>
      <c r="C13" s="7">
        <v>5.3800000000000001E-2</v>
      </c>
      <c r="E13" s="5">
        <f t="shared" si="0"/>
        <v>236.88140000000001</v>
      </c>
    </row>
    <row r="14" spans="1:5" x14ac:dyDescent="0.35">
      <c r="A14" t="s">
        <v>12</v>
      </c>
      <c r="B14" s="5">
        <v>27555</v>
      </c>
      <c r="C14" s="7">
        <v>0.01</v>
      </c>
      <c r="E14" s="5">
        <f t="shared" si="0"/>
        <v>275.55</v>
      </c>
    </row>
    <row r="15" spans="1:5" x14ac:dyDescent="0.35">
      <c r="B15" s="5">
        <f>+SUM(B8:B14)</f>
        <v>2966559</v>
      </c>
      <c r="C15" s="7"/>
      <c r="E15" s="5"/>
    </row>
    <row r="16" spans="1:5" x14ac:dyDescent="0.35">
      <c r="A16" t="s">
        <v>13</v>
      </c>
      <c r="B16" s="5"/>
      <c r="C16" s="7"/>
      <c r="E16" s="5"/>
    </row>
    <row r="17" spans="1:5" x14ac:dyDescent="0.35">
      <c r="A17" t="s">
        <v>9</v>
      </c>
      <c r="B17" s="5">
        <v>1670762</v>
      </c>
      <c r="C17" s="7">
        <v>2.92E-2</v>
      </c>
      <c r="E17" s="5">
        <f t="shared" si="0"/>
        <v>48786.250399999997</v>
      </c>
    </row>
    <row r="18" spans="1:5" x14ac:dyDescent="0.35">
      <c r="A18" t="s">
        <v>14</v>
      </c>
      <c r="B18" s="5">
        <v>683430</v>
      </c>
      <c r="C18" s="7">
        <v>6.8599999999999994E-2</v>
      </c>
      <c r="E18" s="5">
        <f t="shared" si="0"/>
        <v>46883.297999999995</v>
      </c>
    </row>
    <row r="19" spans="1:5" x14ac:dyDescent="0.35">
      <c r="A19" t="s">
        <v>15</v>
      </c>
      <c r="B19" s="5"/>
      <c r="C19" s="7"/>
      <c r="E19" s="5"/>
    </row>
    <row r="20" spans="1:5" x14ac:dyDescent="0.35">
      <c r="A20" s="1">
        <v>0.06</v>
      </c>
      <c r="B20" s="5">
        <v>249075</v>
      </c>
      <c r="C20" s="7">
        <v>0.06</v>
      </c>
      <c r="E20" s="5">
        <f t="shared" si="0"/>
        <v>14944.5</v>
      </c>
    </row>
    <row r="21" spans="1:5" x14ac:dyDescent="0.35">
      <c r="A21" s="2">
        <v>5.7500000000000002E-2</v>
      </c>
      <c r="B21" s="5">
        <v>633300</v>
      </c>
      <c r="C21" s="7">
        <v>5.7500000000000002E-2</v>
      </c>
      <c r="E21" s="5">
        <f t="shared" si="0"/>
        <v>36414.75</v>
      </c>
    </row>
    <row r="22" spans="1:5" x14ac:dyDescent="0.35">
      <c r="A22" s="2">
        <v>5.8000000000000003E-2</v>
      </c>
      <c r="B22" s="5">
        <v>348107</v>
      </c>
      <c r="C22" s="7">
        <v>5.8000000000000003E-2</v>
      </c>
      <c r="E22" s="5">
        <f t="shared" si="0"/>
        <v>20190.206000000002</v>
      </c>
    </row>
    <row r="23" spans="1:5" x14ac:dyDescent="0.35">
      <c r="A23" s="1">
        <v>0.06</v>
      </c>
      <c r="B23" s="5">
        <v>494023</v>
      </c>
      <c r="C23" s="7">
        <v>0.06</v>
      </c>
      <c r="E23" s="5">
        <f t="shared" si="0"/>
        <v>29641.379999999997</v>
      </c>
    </row>
    <row r="24" spans="1:5" x14ac:dyDescent="0.35">
      <c r="A24" t="s">
        <v>11</v>
      </c>
      <c r="B24" s="5">
        <v>21563</v>
      </c>
      <c r="C24" s="7">
        <v>5.3800000000000001E-2</v>
      </c>
      <c r="E24" s="5">
        <f t="shared" si="0"/>
        <v>1160.0894000000001</v>
      </c>
    </row>
    <row r="25" spans="1:5" x14ac:dyDescent="0.35">
      <c r="A25" t="s">
        <v>16</v>
      </c>
      <c r="B25" s="5">
        <v>564601</v>
      </c>
      <c r="C25" s="7">
        <v>0.06</v>
      </c>
      <c r="E25" s="5">
        <f t="shared" si="0"/>
        <v>33876.06</v>
      </c>
    </row>
    <row r="26" spans="1:5" x14ac:dyDescent="0.35">
      <c r="A26" t="s">
        <v>17</v>
      </c>
      <c r="B26" s="5"/>
      <c r="C26" s="7"/>
      <c r="E26" s="5"/>
    </row>
    <row r="27" spans="1:5" x14ac:dyDescent="0.35">
      <c r="A27" t="s">
        <v>18</v>
      </c>
      <c r="B27" s="5">
        <v>314960</v>
      </c>
      <c r="C27" s="7">
        <v>7.4999999999999997E-2</v>
      </c>
      <c r="E27" s="5">
        <f t="shared" si="0"/>
        <v>23622</v>
      </c>
    </row>
    <row r="28" spans="1:5" x14ac:dyDescent="0.35">
      <c r="A28" t="s">
        <v>19</v>
      </c>
      <c r="B28" s="5">
        <v>24492</v>
      </c>
      <c r="C28" s="7">
        <v>7.0000000000000007E-2</v>
      </c>
      <c r="E28" s="5">
        <f t="shared" si="0"/>
        <v>1714.44</v>
      </c>
    </row>
    <row r="29" spans="1:5" x14ac:dyDescent="0.35">
      <c r="A29" t="s">
        <v>20</v>
      </c>
      <c r="B29" s="5">
        <v>878366</v>
      </c>
      <c r="C29" s="7">
        <v>6.7500000000000004E-2</v>
      </c>
      <c r="E29" s="5">
        <f t="shared" si="0"/>
        <v>59289.705000000002</v>
      </c>
    </row>
    <row r="30" spans="1:5" x14ac:dyDescent="0.35">
      <c r="A30" s="8"/>
      <c r="B30" s="5">
        <f>+SUM(B17:B29)</f>
        <v>5882679</v>
      </c>
      <c r="E30" s="5">
        <f>+SUM(E8:E29)</f>
        <v>602382.09750000003</v>
      </c>
    </row>
    <row r="31" spans="1:5" x14ac:dyDescent="0.35">
      <c r="A31" s="8" t="s">
        <v>142</v>
      </c>
      <c r="B31" s="5">
        <f>+B15+B30</f>
        <v>8849238</v>
      </c>
      <c r="E31" s="5"/>
    </row>
    <row r="32" spans="1:5" x14ac:dyDescent="0.35">
      <c r="A32" s="8" t="s">
        <v>140</v>
      </c>
      <c r="B32" s="5"/>
      <c r="E32" s="16">
        <f>+E30/B31</f>
        <v>6.807163481194653E-2</v>
      </c>
    </row>
    <row r="33" spans="1:5" x14ac:dyDescent="0.35">
      <c r="A33" s="8" t="s">
        <v>148</v>
      </c>
      <c r="B33" s="5"/>
      <c r="E33" s="19">
        <v>0.96</v>
      </c>
    </row>
    <row r="35" spans="1:5" x14ac:dyDescent="0.35">
      <c r="A35" t="s">
        <v>22</v>
      </c>
      <c r="B35" s="5">
        <v>2442409869</v>
      </c>
    </row>
    <row r="36" spans="1:5" x14ac:dyDescent="0.35">
      <c r="A36" t="s">
        <v>23</v>
      </c>
      <c r="B36" s="10">
        <v>2.2200000000000002</v>
      </c>
    </row>
    <row r="37" spans="1:5" x14ac:dyDescent="0.35">
      <c r="A37" t="s">
        <v>24</v>
      </c>
      <c r="B37" s="9">
        <v>1.93</v>
      </c>
      <c r="C37">
        <f>+(1.93/2.93)</f>
        <v>0.65870307167235487</v>
      </c>
      <c r="D37">
        <f>1/2.93</f>
        <v>0.34129692832764502</v>
      </c>
    </row>
    <row r="38" spans="1:5" x14ac:dyDescent="0.35">
      <c r="A38" t="s">
        <v>25</v>
      </c>
      <c r="B38">
        <v>1.56</v>
      </c>
    </row>
    <row r="39" spans="1:5" x14ac:dyDescent="0.35">
      <c r="A39" t="s">
        <v>147</v>
      </c>
      <c r="B39" s="14">
        <f>+(((1-B40)*B31)/(((1-B40)*B31)+B43))*E33+((B43)/(((1-B40)*B31)+B43))*B38</f>
        <v>1.2148198871394942</v>
      </c>
    </row>
    <row r="40" spans="1:5" x14ac:dyDescent="0.35">
      <c r="A40" t="s">
        <v>26</v>
      </c>
      <c r="B40" s="6">
        <v>0.17</v>
      </c>
    </row>
    <row r="41" spans="1:5" x14ac:dyDescent="0.35">
      <c r="A41" t="s">
        <v>145</v>
      </c>
      <c r="B41" s="6">
        <v>2.5000000000000001E-2</v>
      </c>
    </row>
    <row r="42" spans="1:5" x14ac:dyDescent="0.35">
      <c r="A42" t="s">
        <v>146</v>
      </c>
      <c r="B42" s="6">
        <v>0.05</v>
      </c>
    </row>
    <row r="43" spans="1:5" s="8" customFormat="1" x14ac:dyDescent="0.35">
      <c r="A43" s="8" t="s">
        <v>144</v>
      </c>
      <c r="B43" s="17">
        <f>+B35*B36/1000</f>
        <v>5422149.9091800004</v>
      </c>
    </row>
    <row r="44" spans="1:5" s="8" customFormat="1" x14ac:dyDescent="0.35">
      <c r="A44" s="8" t="s">
        <v>141</v>
      </c>
      <c r="E44" s="18">
        <f>+B41+B38*0.05</f>
        <v>0.10300000000000001</v>
      </c>
    </row>
    <row r="45" spans="1:5" x14ac:dyDescent="0.35">
      <c r="A45" s="8" t="s">
        <v>151</v>
      </c>
      <c r="B45" s="20">
        <f>+B30+B43</f>
        <v>11304828.90918</v>
      </c>
    </row>
    <row r="46" spans="1:5" x14ac:dyDescent="0.35">
      <c r="A46" t="s">
        <v>149</v>
      </c>
      <c r="C46" s="16">
        <f>+C37*E32*(1-B40)+D37*E44</f>
        <v>7.2369949421589461E-2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2"/>
  <sheetViews>
    <sheetView topLeftCell="A121" workbookViewId="0">
      <selection activeCell="J144" sqref="J144"/>
    </sheetView>
  </sheetViews>
  <sheetFormatPr defaultRowHeight="14.5" x14ac:dyDescent="0.35"/>
  <cols>
    <col min="1" max="1" width="12" customWidth="1"/>
    <col min="5" max="5" width="12.54296875" bestFit="1" customWidth="1"/>
    <col min="6" max="6" width="11.1796875" customWidth="1"/>
    <col min="7" max="7" width="11.26953125" customWidth="1"/>
    <col min="8" max="8" width="13.453125" customWidth="1"/>
    <col min="9" max="9" width="11.54296875" customWidth="1"/>
    <col min="10" max="12" width="14.6328125" bestFit="1" customWidth="1"/>
    <col min="13" max="13" width="11.453125" customWidth="1"/>
    <col min="14" max="14" width="12.08984375" customWidth="1"/>
    <col min="15" max="19" width="14.6328125" bestFit="1" customWidth="1"/>
    <col min="20" max="20" width="11" bestFit="1" customWidth="1"/>
  </cols>
  <sheetData>
    <row r="1" spans="1:19" x14ac:dyDescent="0.35">
      <c r="A1" s="8" t="s">
        <v>27</v>
      </c>
    </row>
    <row r="3" spans="1:19" x14ac:dyDescent="0.35">
      <c r="E3" s="4" t="s">
        <v>46</v>
      </c>
      <c r="F3" s="4" t="s">
        <v>47</v>
      </c>
      <c r="G3" s="4" t="s">
        <v>48</v>
      </c>
      <c r="H3" s="4" t="s">
        <v>49</v>
      </c>
      <c r="I3" s="4" t="s">
        <v>50</v>
      </c>
      <c r="J3" s="4" t="s">
        <v>51</v>
      </c>
      <c r="K3" s="4" t="s">
        <v>52</v>
      </c>
      <c r="L3" s="4" t="s">
        <v>53</v>
      </c>
      <c r="M3" s="4" t="s">
        <v>128</v>
      </c>
      <c r="N3" s="4" t="s">
        <v>129</v>
      </c>
      <c r="O3" s="4" t="s">
        <v>130</v>
      </c>
      <c r="P3" s="4" t="s">
        <v>131</v>
      </c>
      <c r="Q3" s="4" t="s">
        <v>132</v>
      </c>
      <c r="R3" s="4" t="s">
        <v>133</v>
      </c>
      <c r="S3" s="4" t="s">
        <v>134</v>
      </c>
    </row>
    <row r="4" spans="1:19" x14ac:dyDescent="0.35">
      <c r="A4" t="s">
        <v>28</v>
      </c>
    </row>
    <row r="5" spans="1:19" x14ac:dyDescent="0.35">
      <c r="A5" t="s">
        <v>29</v>
      </c>
      <c r="E5" s="5">
        <v>1200076</v>
      </c>
      <c r="F5" s="5">
        <v>1489434</v>
      </c>
      <c r="G5" s="5">
        <v>2183158</v>
      </c>
      <c r="H5" s="5">
        <v>2562755</v>
      </c>
      <c r="I5" s="5">
        <v>3205127</v>
      </c>
      <c r="J5" s="5">
        <f t="shared" ref="J5:S5" si="0">+(1+J$94)*I$5</f>
        <v>3733972.9550000001</v>
      </c>
      <c r="K5" s="5">
        <f t="shared" si="0"/>
        <v>3909469.6838849997</v>
      </c>
      <c r="L5" s="5">
        <f t="shared" si="0"/>
        <v>4261321.9554346502</v>
      </c>
      <c r="M5" s="5">
        <f t="shared" si="0"/>
        <v>4687454.1509781154</v>
      </c>
      <c r="N5" s="5">
        <f t="shared" si="0"/>
        <v>5156199.5660759276</v>
      </c>
      <c r="O5" s="5">
        <f t="shared" si="0"/>
        <v>5599632.728758458</v>
      </c>
      <c r="P5" s="5">
        <f t="shared" si="0"/>
        <v>6002806.2852290673</v>
      </c>
      <c r="Q5" s="5">
        <f t="shared" si="0"/>
        <v>6350969.0497723538</v>
      </c>
      <c r="R5" s="5">
        <f t="shared" si="0"/>
        <v>6630411.6879623374</v>
      </c>
      <c r="S5" s="5">
        <f t="shared" si="0"/>
        <v>6829324.0386012075</v>
      </c>
    </row>
    <row r="6" spans="1:19" x14ac:dyDescent="0.35">
      <c r="A6" t="s">
        <v>30</v>
      </c>
      <c r="E6" s="5">
        <v>3783126</v>
      </c>
      <c r="F6" s="5">
        <v>4080307</v>
      </c>
      <c r="G6" s="5">
        <v>6361459</v>
      </c>
      <c r="H6" s="5">
        <v>5902203</v>
      </c>
      <c r="I6" s="5">
        <v>5273235</v>
      </c>
      <c r="J6" s="5">
        <f t="shared" ref="J6:S6" si="1">+(1+J$95)*I$6</f>
        <v>5215229.415</v>
      </c>
      <c r="K6" s="5">
        <f t="shared" si="1"/>
        <v>5350825.3797900006</v>
      </c>
      <c r="L6" s="5">
        <f t="shared" si="1"/>
        <v>5698629.0294763502</v>
      </c>
      <c r="M6" s="5">
        <f t="shared" si="1"/>
        <v>5835396.1261837827</v>
      </c>
      <c r="N6" s="5">
        <f t="shared" si="1"/>
        <v>5975445.6332121938</v>
      </c>
      <c r="O6" s="5">
        <f t="shared" si="1"/>
        <v>6124831.7740424983</v>
      </c>
      <c r="P6" s="5">
        <f t="shared" si="1"/>
        <v>6284077.400167603</v>
      </c>
      <c r="Q6" s="5">
        <f t="shared" si="1"/>
        <v>6460031.567372296</v>
      </c>
      <c r="R6" s="5">
        <f t="shared" si="1"/>
        <v>6647372.4828260923</v>
      </c>
      <c r="S6" s="5">
        <f t="shared" si="1"/>
        <v>6846793.6573108751</v>
      </c>
    </row>
    <row r="7" spans="1:19" x14ac:dyDescent="0.35">
      <c r="A7" t="s">
        <v>31</v>
      </c>
      <c r="E7" s="5">
        <v>2139621</v>
      </c>
      <c r="F7" s="5">
        <v>2589545</v>
      </c>
      <c r="G7" s="5">
        <v>3466623</v>
      </c>
      <c r="H7" s="5">
        <v>4586435</v>
      </c>
      <c r="I7" s="5">
        <v>7720913</v>
      </c>
      <c r="J7" s="5">
        <f t="shared" ref="J7:S7" si="2">+(1+J$96)*I$7</f>
        <v>9018026.3839999996</v>
      </c>
      <c r="K7" s="5">
        <f t="shared" si="2"/>
        <v>9631252.1781120002</v>
      </c>
      <c r="L7" s="5">
        <f t="shared" si="2"/>
        <v>10873683.709088448</v>
      </c>
      <c r="M7" s="5">
        <f t="shared" si="2"/>
        <v>12189399.437888151</v>
      </c>
      <c r="N7" s="5">
        <f t="shared" si="2"/>
        <v>13664316.769872617</v>
      </c>
      <c r="O7" s="5">
        <f t="shared" si="2"/>
        <v>15071741.397169497</v>
      </c>
      <c r="P7" s="5">
        <f t="shared" si="2"/>
        <v>16352839.415928904</v>
      </c>
      <c r="Q7" s="5">
        <f t="shared" si="2"/>
        <v>17432126.817380212</v>
      </c>
      <c r="R7" s="5">
        <f t="shared" si="2"/>
        <v>18268868.904614463</v>
      </c>
      <c r="S7" s="5">
        <f t="shared" si="2"/>
        <v>18816934.971752897</v>
      </c>
    </row>
    <row r="8" spans="1:19" x14ac:dyDescent="0.35">
      <c r="A8" t="s">
        <v>32</v>
      </c>
      <c r="E8" s="5">
        <v>1465109</v>
      </c>
      <c r="F8" s="5">
        <v>2295746</v>
      </c>
      <c r="G8" s="5">
        <v>3790018</v>
      </c>
      <c r="H8" s="5">
        <v>4040810</v>
      </c>
      <c r="I8" s="5">
        <v>4601099</v>
      </c>
      <c r="J8" s="5">
        <f t="shared" ref="J8:S8" si="3">+(1+J$97)*I$8</f>
        <v>5157831.9790000003</v>
      </c>
      <c r="K8" s="5">
        <f t="shared" si="3"/>
        <v>5312566.9383700006</v>
      </c>
      <c r="L8" s="5">
        <f t="shared" si="3"/>
        <v>5631320.9546722006</v>
      </c>
      <c r="M8" s="5">
        <f t="shared" si="3"/>
        <v>6008619.458635238</v>
      </c>
      <c r="N8" s="5">
        <f t="shared" si="3"/>
        <v>6411196.9623637982</v>
      </c>
      <c r="O8" s="5">
        <f t="shared" si="3"/>
        <v>6795868.7801056262</v>
      </c>
      <c r="P8" s="5">
        <f t="shared" si="3"/>
        <v>7149253.9566711187</v>
      </c>
      <c r="Q8" s="5">
        <f t="shared" si="3"/>
        <v>7470970.3847213183</v>
      </c>
      <c r="R8" s="5">
        <f t="shared" si="3"/>
        <v>7747396.2889560061</v>
      </c>
      <c r="S8" s="5">
        <f t="shared" si="3"/>
        <v>7979818.1776246866</v>
      </c>
    </row>
    <row r="9" spans="1:19" x14ac:dyDescent="0.35">
      <c r="A9" t="s">
        <v>33</v>
      </c>
      <c r="E9" s="5">
        <v>0</v>
      </c>
      <c r="F9" s="5">
        <v>0</v>
      </c>
      <c r="G9" s="5">
        <v>2129</v>
      </c>
      <c r="H9" s="5">
        <v>1548</v>
      </c>
      <c r="I9" s="5">
        <v>1424</v>
      </c>
      <c r="J9" s="5">
        <f t="shared" ref="J9:S9" si="4">+(1+J$98)*I$9</f>
        <v>1466.72</v>
      </c>
      <c r="K9" s="5">
        <f t="shared" si="4"/>
        <v>1510.7216000000001</v>
      </c>
      <c r="L9" s="5">
        <f t="shared" si="4"/>
        <v>1556.0432480000002</v>
      </c>
      <c r="M9" s="5">
        <f t="shared" si="4"/>
        <v>1602.7245454400002</v>
      </c>
      <c r="N9" s="5">
        <f t="shared" si="4"/>
        <v>1650.8062818032001</v>
      </c>
      <c r="O9" s="5">
        <f t="shared" si="4"/>
        <v>1700.3304702572962</v>
      </c>
      <c r="P9" s="5">
        <f t="shared" si="4"/>
        <v>1751.3403843650151</v>
      </c>
      <c r="Q9" s="5">
        <f t="shared" si="4"/>
        <v>1803.8805958959656</v>
      </c>
      <c r="R9" s="5">
        <f t="shared" si="4"/>
        <v>1857.9970137728446</v>
      </c>
      <c r="S9" s="5">
        <f t="shared" si="4"/>
        <v>1913.7369241860301</v>
      </c>
    </row>
    <row r="10" spans="1:19" x14ac:dyDescent="0.35">
      <c r="E10" s="5">
        <f>+SUM(E5:E9)</f>
        <v>8587932</v>
      </c>
      <c r="F10" s="5">
        <f t="shared" ref="F10:J10" si="5">+SUM(F5:F9)</f>
        <v>10455032</v>
      </c>
      <c r="G10" s="5">
        <f t="shared" si="5"/>
        <v>15803387</v>
      </c>
      <c r="H10" s="5">
        <f t="shared" si="5"/>
        <v>17093751</v>
      </c>
      <c r="I10" s="5">
        <f t="shared" si="5"/>
        <v>20801798</v>
      </c>
      <c r="J10" s="5">
        <f t="shared" si="5"/>
        <v>23126527.453000002</v>
      </c>
      <c r="K10" s="5">
        <f t="shared" ref="K10:S10" si="6">+SUM(K5:K9)</f>
        <v>24205624.901757002</v>
      </c>
      <c r="L10" s="5">
        <f t="shared" si="6"/>
        <v>26466511.691919651</v>
      </c>
      <c r="M10" s="5">
        <f t="shared" si="6"/>
        <v>28722471.898230728</v>
      </c>
      <c r="N10" s="5">
        <f t="shared" si="6"/>
        <v>31208809.737806343</v>
      </c>
      <c r="O10" s="5">
        <f t="shared" si="6"/>
        <v>33593775.010546334</v>
      </c>
      <c r="P10" s="5">
        <f t="shared" si="6"/>
        <v>35790728.398381054</v>
      </c>
      <c r="Q10" s="5">
        <f t="shared" si="6"/>
        <v>37715901.699842073</v>
      </c>
      <c r="R10" s="5">
        <f t="shared" si="6"/>
        <v>39295907.361372672</v>
      </c>
      <c r="S10" s="5">
        <f t="shared" si="6"/>
        <v>40474784.582213849</v>
      </c>
    </row>
    <row r="11" spans="1:19" x14ac:dyDescent="0.35">
      <c r="E11" s="5"/>
      <c r="F11" s="5"/>
      <c r="G11" s="5"/>
      <c r="H11" s="5"/>
      <c r="I11" s="5"/>
    </row>
    <row r="12" spans="1:19" x14ac:dyDescent="0.35">
      <c r="A12" t="s">
        <v>34</v>
      </c>
      <c r="E12" s="5">
        <v>6980032</v>
      </c>
      <c r="F12" s="5">
        <v>8465914</v>
      </c>
      <c r="G12" s="5">
        <v>13126857</v>
      </c>
      <c r="H12" s="5">
        <v>13866578</v>
      </c>
      <c r="I12" s="5">
        <v>17053837</v>
      </c>
      <c r="J12" s="5">
        <f t="shared" ref="J12:S12" si="7">+J$109*J10</f>
        <v>18890672.684708521</v>
      </c>
      <c r="K12" s="5">
        <f t="shared" si="7"/>
        <v>19772122.644751191</v>
      </c>
      <c r="L12" s="5">
        <f t="shared" si="7"/>
        <v>21618905.410427649</v>
      </c>
      <c r="M12" s="5">
        <f t="shared" si="7"/>
        <v>23461663.945350789</v>
      </c>
      <c r="N12" s="5">
        <f t="shared" si="7"/>
        <v>25492604.146229733</v>
      </c>
      <c r="O12" s="5">
        <f t="shared" si="7"/>
        <v>27440739.179614667</v>
      </c>
      <c r="P12" s="5">
        <f t="shared" si="7"/>
        <v>29235298.584933583</v>
      </c>
      <c r="Q12" s="5">
        <f t="shared" si="7"/>
        <v>30807857.144499</v>
      </c>
      <c r="R12" s="5">
        <f t="shared" si="7"/>
        <v>32098468.969063655</v>
      </c>
      <c r="S12" s="5">
        <f t="shared" si="7"/>
        <v>33061423.038135562</v>
      </c>
    </row>
    <row r="13" spans="1:19" x14ac:dyDescent="0.35">
      <c r="A13" t="s">
        <v>35</v>
      </c>
      <c r="E13" s="5">
        <v>1607900</v>
      </c>
      <c r="F13" s="5">
        <v>1989118</v>
      </c>
      <c r="G13" s="5">
        <v>2676530</v>
      </c>
      <c r="H13" s="5">
        <v>3227173</v>
      </c>
      <c r="I13" s="5">
        <v>3747961</v>
      </c>
      <c r="J13" s="11">
        <f>+J10-J12</f>
        <v>4235854.7682914808</v>
      </c>
      <c r="K13" s="11">
        <f t="shared" ref="K13:S13" si="8">+K10-K12</f>
        <v>4433502.2570058107</v>
      </c>
      <c r="L13" s="11">
        <f t="shared" si="8"/>
        <v>4847606.2814920023</v>
      </c>
      <c r="M13" s="11">
        <f t="shared" si="8"/>
        <v>5260807.9528799392</v>
      </c>
      <c r="N13" s="11">
        <f t="shared" si="8"/>
        <v>5716205.5915766098</v>
      </c>
      <c r="O13" s="11">
        <f t="shared" si="8"/>
        <v>6153035.8309316672</v>
      </c>
      <c r="P13" s="11">
        <f t="shared" si="8"/>
        <v>6555429.8134474717</v>
      </c>
      <c r="Q13" s="11">
        <f t="shared" si="8"/>
        <v>6908044.5553430729</v>
      </c>
      <c r="R13" s="11">
        <f t="shared" si="8"/>
        <v>7197438.3923090175</v>
      </c>
      <c r="S13" s="11">
        <f t="shared" si="8"/>
        <v>7413361.5440782867</v>
      </c>
    </row>
    <row r="14" spans="1:19" x14ac:dyDescent="0.35">
      <c r="A14" t="s">
        <v>36</v>
      </c>
      <c r="E14" s="5">
        <v>15158</v>
      </c>
      <c r="F14" s="5">
        <v>47362</v>
      </c>
      <c r="G14" s="5">
        <v>18428</v>
      </c>
      <c r="H14" s="5">
        <v>28245</v>
      </c>
      <c r="I14" s="5">
        <v>47175</v>
      </c>
      <c r="J14" s="5">
        <f t="shared" ref="J14:S14" si="9">+J$110*J10</f>
        <v>52728.482592840002</v>
      </c>
      <c r="K14" s="5">
        <f t="shared" si="9"/>
        <v>55188.82477600596</v>
      </c>
      <c r="L14" s="5">
        <f t="shared" si="9"/>
        <v>60343.646657576799</v>
      </c>
      <c r="M14" s="5">
        <f t="shared" si="9"/>
        <v>65487.23592796606</v>
      </c>
      <c r="N14" s="5">
        <f t="shared" si="9"/>
        <v>71156.086202198465</v>
      </c>
      <c r="O14" s="5">
        <f t="shared" si="9"/>
        <v>76593.807024045644</v>
      </c>
      <c r="P14" s="5">
        <f t="shared" si="9"/>
        <v>81602.860748308798</v>
      </c>
      <c r="Q14" s="5">
        <f t="shared" si="9"/>
        <v>85992.255875639923</v>
      </c>
      <c r="R14" s="5">
        <f t="shared" si="9"/>
        <v>89594.668783929694</v>
      </c>
      <c r="S14" s="5">
        <f t="shared" si="9"/>
        <v>92282.508847447578</v>
      </c>
    </row>
    <row r="15" spans="1:19" x14ac:dyDescent="0.35">
      <c r="A15" t="s">
        <v>37</v>
      </c>
      <c r="E15" s="5">
        <v>1246078</v>
      </c>
      <c r="F15" s="5">
        <v>1685753</v>
      </c>
      <c r="G15" s="5">
        <v>2025588</v>
      </c>
      <c r="H15" s="5">
        <v>2326161</v>
      </c>
      <c r="I15" s="5">
        <v>2680778</v>
      </c>
      <c r="J15" s="5">
        <f t="shared" ref="J15:S15" si="10">+J10*J$111</f>
        <v>2980315.5928681106</v>
      </c>
      <c r="K15" s="5">
        <f t="shared" si="10"/>
        <v>3119378.8810894252</v>
      </c>
      <c r="L15" s="5">
        <f t="shared" si="10"/>
        <v>3410739.3617376857</v>
      </c>
      <c r="M15" s="5">
        <f t="shared" si="10"/>
        <v>3701464.9535249942</v>
      </c>
      <c r="N15" s="5">
        <f t="shared" si="10"/>
        <v>4021879.3109111036</v>
      </c>
      <c r="O15" s="5">
        <f t="shared" si="10"/>
        <v>4329229.7856091065</v>
      </c>
      <c r="P15" s="5">
        <f t="shared" si="10"/>
        <v>4612351.168699367</v>
      </c>
      <c r="Q15" s="5">
        <f t="shared" si="10"/>
        <v>4860448.2520586485</v>
      </c>
      <c r="R15" s="5">
        <f t="shared" si="10"/>
        <v>5064063.5816600965</v>
      </c>
      <c r="S15" s="5">
        <f t="shared" si="10"/>
        <v>5215985.4891098989</v>
      </c>
    </row>
    <row r="16" spans="1:19" x14ac:dyDescent="0.35">
      <c r="A16" t="s">
        <v>38</v>
      </c>
      <c r="E16" s="5">
        <v>40532</v>
      </c>
      <c r="F16" s="5">
        <v>68530</v>
      </c>
      <c r="G16" s="5">
        <v>91471</v>
      </c>
      <c r="H16" s="5">
        <v>128691</v>
      </c>
      <c r="I16" s="5">
        <v>175878</v>
      </c>
      <c r="J16" s="5">
        <f t="shared" ref="J16:S16" si="11">+J$112*I$44</f>
        <v>269080.33750000002</v>
      </c>
      <c r="K16" s="5">
        <f t="shared" si="11"/>
        <v>277487.59820625</v>
      </c>
      <c r="L16" s="5">
        <f t="shared" si="11"/>
        <v>296308.66414705943</v>
      </c>
      <c r="M16" s="5">
        <f t="shared" si="11"/>
        <v>309961.01801151526</v>
      </c>
      <c r="N16" s="5">
        <f t="shared" si="11"/>
        <v>328037.90436285455</v>
      </c>
      <c r="O16" s="5">
        <f t="shared" si="11"/>
        <v>348366.8413098423</v>
      </c>
      <c r="P16" s="5">
        <f t="shared" si="11"/>
        <v>370621.36594517546</v>
      </c>
      <c r="Q16" s="5">
        <f t="shared" si="11"/>
        <v>394372.71945553616</v>
      </c>
      <c r="R16" s="5">
        <f t="shared" si="11"/>
        <v>419102.11656352313</v>
      </c>
      <c r="S16" s="5">
        <f t="shared" si="11"/>
        <v>444223.13966660207</v>
      </c>
    </row>
    <row r="17" spans="1:19" x14ac:dyDescent="0.35">
      <c r="A17" t="s">
        <v>39</v>
      </c>
      <c r="E17" s="5">
        <v>0</v>
      </c>
      <c r="F17" s="5">
        <v>3274</v>
      </c>
      <c r="G17" s="5">
        <v>16097</v>
      </c>
      <c r="H17" s="5">
        <v>21923</v>
      </c>
      <c r="I17" s="5">
        <v>23434</v>
      </c>
      <c r="J17" s="5">
        <f t="shared" ref="J17:S17" si="12">+J$113*I$47</f>
        <v>27704.310450000001</v>
      </c>
      <c r="K17" s="5">
        <f t="shared" si="12"/>
        <v>26153.700194113499</v>
      </c>
      <c r="L17" s="5">
        <f t="shared" si="12"/>
        <v>24689.87759424897</v>
      </c>
      <c r="M17" s="5">
        <f t="shared" si="12"/>
        <v>23307.985145298855</v>
      </c>
      <c r="N17" s="5">
        <f t="shared" si="12"/>
        <v>22003.437216716477</v>
      </c>
      <c r="O17" s="5">
        <f t="shared" si="12"/>
        <v>20771.904835696856</v>
      </c>
      <c r="P17" s="5">
        <f t="shared" si="12"/>
        <v>19609.301322042902</v>
      </c>
      <c r="Q17" s="5">
        <f t="shared" si="12"/>
        <v>18511.768727048162</v>
      </c>
      <c r="R17" s="5">
        <f t="shared" si="12"/>
        <v>17475.665031395274</v>
      </c>
      <c r="S17" s="5">
        <f t="shared" si="12"/>
        <v>16497.552059588081</v>
      </c>
    </row>
    <row r="18" spans="1:19" x14ac:dyDescent="0.35">
      <c r="A18" t="s">
        <v>40</v>
      </c>
      <c r="E18" s="5">
        <v>239179</v>
      </c>
      <c r="F18" s="5">
        <v>227475</v>
      </c>
      <c r="G18" s="5">
        <v>344358</v>
      </c>
      <c r="H18" s="5">
        <v>437550</v>
      </c>
      <c r="I18" s="5">
        <v>518353</v>
      </c>
      <c r="J18" s="11">
        <f t="shared" ref="J18:S18" si="13">+J$120*(-I35+I55+I56+I59)</f>
        <v>721757.20000000007</v>
      </c>
      <c r="K18" s="11">
        <f t="shared" si="13"/>
        <v>770193.84126863675</v>
      </c>
      <c r="L18" s="11">
        <f t="shared" si="13"/>
        <v>798954.852800878</v>
      </c>
      <c r="M18" s="11">
        <f t="shared" si="13"/>
        <v>847254.37233182939</v>
      </c>
      <c r="N18" s="11">
        <f t="shared" si="13"/>
        <v>895759.34739212005</v>
      </c>
      <c r="O18" s="11">
        <f t="shared" si="13"/>
        <v>947518.32132101886</v>
      </c>
      <c r="P18" s="11">
        <f t="shared" si="13"/>
        <v>993870.27333234146</v>
      </c>
      <c r="Q18" s="11">
        <f t="shared" si="13"/>
        <v>1032468.8890039613</v>
      </c>
      <c r="R18" s="11">
        <f t="shared" si="13"/>
        <v>1061091.9640467591</v>
      </c>
      <c r="S18" s="11">
        <f t="shared" si="13"/>
        <v>1077831.7141691637</v>
      </c>
    </row>
    <row r="19" spans="1:19" x14ac:dyDescent="0.35">
      <c r="A19" t="s">
        <v>42</v>
      </c>
      <c r="E19" s="5">
        <v>-39423</v>
      </c>
      <c r="F19" s="5">
        <v>20655</v>
      </c>
      <c r="G19" s="5">
        <v>63709</v>
      </c>
      <c r="H19" s="5">
        <v>-93057</v>
      </c>
      <c r="I19" s="5">
        <v>-55279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</row>
    <row r="20" spans="1:19" x14ac:dyDescent="0.35">
      <c r="A20" t="s">
        <v>41</v>
      </c>
      <c r="E20" s="5">
        <v>200178</v>
      </c>
      <c r="F20" s="5">
        <v>348092</v>
      </c>
      <c r="G20" s="5">
        <v>229112</v>
      </c>
      <c r="H20" s="5">
        <v>189874</v>
      </c>
      <c r="I20" s="5">
        <v>155237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x14ac:dyDescent="0.35">
      <c r="A21" t="s">
        <v>43</v>
      </c>
      <c r="E21" s="5">
        <v>258024</v>
      </c>
      <c r="F21" s="5">
        <v>420195</v>
      </c>
      <c r="G21" s="5">
        <v>510265</v>
      </c>
      <c r="H21" s="5">
        <v>437910</v>
      </c>
      <c r="I21" s="5">
        <v>496651</v>
      </c>
      <c r="J21" s="11">
        <f>+J13+J14-J15-J16-J17-J18+J19+J20</f>
        <v>289725.81006620987</v>
      </c>
      <c r="K21" s="11">
        <f t="shared" ref="K21:S21" si="14">+K13+K14-K15-K16-K17-K18+K19+K20</f>
        <v>295477.06102339132</v>
      </c>
      <c r="L21" s="11">
        <f t="shared" si="14"/>
        <v>377257.17186970706</v>
      </c>
      <c r="M21" s="11">
        <f t="shared" si="14"/>
        <v>444306.85979426804</v>
      </c>
      <c r="N21" s="11">
        <f t="shared" si="14"/>
        <v>519681.6778960136</v>
      </c>
      <c r="O21" s="11">
        <f t="shared" si="14"/>
        <v>583742.78488004871</v>
      </c>
      <c r="P21" s="11">
        <f t="shared" si="14"/>
        <v>640580.56489685352</v>
      </c>
      <c r="Q21" s="11">
        <f t="shared" si="14"/>
        <v>688235.18197351834</v>
      </c>
      <c r="R21" s="11">
        <f t="shared" si="14"/>
        <v>725299.73379117344</v>
      </c>
      <c r="S21" s="11">
        <f t="shared" si="14"/>
        <v>751106.15792048117</v>
      </c>
    </row>
    <row r="22" spans="1:19" x14ac:dyDescent="0.35">
      <c r="A22" t="s">
        <v>44</v>
      </c>
      <c r="E22" s="5">
        <v>5995</v>
      </c>
      <c r="F22" s="5">
        <v>60446</v>
      </c>
      <c r="G22" s="5">
        <v>65697</v>
      </c>
      <c r="H22" s="5">
        <v>34085</v>
      </c>
      <c r="I22" s="5">
        <v>105134</v>
      </c>
      <c r="J22" s="11">
        <f t="shared" ref="J22:S22" si="15">+J$119*J21</f>
        <v>49253.38771125568</v>
      </c>
      <c r="K22" s="11">
        <f t="shared" si="15"/>
        <v>50231.100373976529</v>
      </c>
      <c r="L22" s="11">
        <f t="shared" si="15"/>
        <v>64133.719217850208</v>
      </c>
      <c r="M22" s="11">
        <f t="shared" si="15"/>
        <v>75532.16616502557</v>
      </c>
      <c r="N22" s="11">
        <f t="shared" si="15"/>
        <v>88345.885242322314</v>
      </c>
      <c r="O22" s="11">
        <f t="shared" si="15"/>
        <v>99236.273429608293</v>
      </c>
      <c r="P22" s="11">
        <f t="shared" si="15"/>
        <v>108898.6960324651</v>
      </c>
      <c r="Q22" s="11">
        <f t="shared" si="15"/>
        <v>116999.98093549813</v>
      </c>
      <c r="R22" s="11">
        <f t="shared" si="15"/>
        <v>123300.9547444995</v>
      </c>
      <c r="S22" s="11">
        <f t="shared" si="15"/>
        <v>127688.04684648181</v>
      </c>
    </row>
    <row r="23" spans="1:19" x14ac:dyDescent="0.35">
      <c r="A23" t="s">
        <v>45</v>
      </c>
      <c r="E23" s="5">
        <v>252029</v>
      </c>
      <c r="F23" s="5">
        <v>359749</v>
      </c>
      <c r="G23" s="5">
        <v>444568</v>
      </c>
      <c r="H23" s="5">
        <v>403825</v>
      </c>
      <c r="I23" s="5">
        <v>391517</v>
      </c>
      <c r="J23" s="11">
        <f>+J21-J22</f>
        <v>240472.42235495418</v>
      </c>
      <c r="K23" s="11">
        <f t="shared" ref="K23:S23" si="16">+K21-K22</f>
        <v>245245.9606494148</v>
      </c>
      <c r="L23" s="11">
        <f t="shared" si="16"/>
        <v>313123.45265185687</v>
      </c>
      <c r="M23" s="11">
        <f t="shared" si="16"/>
        <v>368774.69362924248</v>
      </c>
      <c r="N23" s="11">
        <f t="shared" si="16"/>
        <v>431335.79265369126</v>
      </c>
      <c r="O23" s="11">
        <f t="shared" si="16"/>
        <v>484506.51145044039</v>
      </c>
      <c r="P23" s="11">
        <f t="shared" si="16"/>
        <v>531681.86886438844</v>
      </c>
      <c r="Q23" s="11">
        <f t="shared" si="16"/>
        <v>571235.2010380202</v>
      </c>
      <c r="R23" s="11">
        <f t="shared" si="16"/>
        <v>601998.77904667391</v>
      </c>
      <c r="S23" s="11">
        <f t="shared" si="16"/>
        <v>623418.11107399932</v>
      </c>
    </row>
    <row r="24" spans="1:19" x14ac:dyDescent="0.35"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35">
      <c r="A25" t="s">
        <v>54</v>
      </c>
      <c r="E25" s="11">
        <f>+E13+E14-E15</f>
        <v>376980</v>
      </c>
      <c r="F25" s="11">
        <f t="shared" ref="F25:L25" si="17">+F13+F14-F15</f>
        <v>350727</v>
      </c>
      <c r="G25" s="11">
        <f t="shared" si="17"/>
        <v>669370</v>
      </c>
      <c r="H25" s="11">
        <f t="shared" si="17"/>
        <v>929257</v>
      </c>
      <c r="I25" s="11">
        <f t="shared" si="17"/>
        <v>1114358</v>
      </c>
      <c r="J25" s="11">
        <f t="shared" si="17"/>
        <v>1308267.65801621</v>
      </c>
      <c r="K25" s="11">
        <f t="shared" si="17"/>
        <v>1369312.2006923915</v>
      </c>
      <c r="L25" s="11">
        <f t="shared" si="17"/>
        <v>1497210.5664118933</v>
      </c>
      <c r="M25" s="11">
        <f t="shared" ref="M25:S25" si="18">+M13+M14-M15</f>
        <v>1624830.2352829115</v>
      </c>
      <c r="N25" s="11">
        <f t="shared" si="18"/>
        <v>1765482.3668677048</v>
      </c>
      <c r="O25" s="11">
        <f t="shared" si="18"/>
        <v>1900399.8523466066</v>
      </c>
      <c r="P25" s="11">
        <f t="shared" si="18"/>
        <v>2024681.5054964134</v>
      </c>
      <c r="Q25" s="11">
        <f t="shared" si="18"/>
        <v>2133588.559160064</v>
      </c>
      <c r="R25" s="11">
        <f t="shared" si="18"/>
        <v>2222969.4794328511</v>
      </c>
      <c r="S25" s="11">
        <f t="shared" si="18"/>
        <v>2289658.5638158349</v>
      </c>
    </row>
    <row r="26" spans="1:19" x14ac:dyDescent="0.35">
      <c r="A26" t="s">
        <v>55</v>
      </c>
      <c r="E26" s="11">
        <f>+E16+E17</f>
        <v>40532</v>
      </c>
      <c r="F26" s="11">
        <f t="shared" ref="F26:L26" si="19">+F16+F17</f>
        <v>71804</v>
      </c>
      <c r="G26" s="11">
        <f t="shared" si="19"/>
        <v>107568</v>
      </c>
      <c r="H26" s="11">
        <f t="shared" si="19"/>
        <v>150614</v>
      </c>
      <c r="I26" s="11">
        <f t="shared" si="19"/>
        <v>199312</v>
      </c>
      <c r="J26" s="11">
        <f t="shared" si="19"/>
        <v>296784.64795000001</v>
      </c>
      <c r="K26" s="11">
        <f t="shared" si="19"/>
        <v>303641.29840036348</v>
      </c>
      <c r="L26" s="11">
        <f t="shared" si="19"/>
        <v>320998.54174130841</v>
      </c>
      <c r="M26" s="11">
        <f t="shared" ref="M26:S26" si="20">+M16+M17</f>
        <v>333269.00315681414</v>
      </c>
      <c r="N26" s="11">
        <f t="shared" si="20"/>
        <v>350041.34157957102</v>
      </c>
      <c r="O26" s="11">
        <f t="shared" si="20"/>
        <v>369138.74614553916</v>
      </c>
      <c r="P26" s="11">
        <f t="shared" si="20"/>
        <v>390230.66726721835</v>
      </c>
      <c r="Q26" s="11">
        <f t="shared" si="20"/>
        <v>412884.48818258435</v>
      </c>
      <c r="R26" s="11">
        <f t="shared" si="20"/>
        <v>436577.7815949184</v>
      </c>
      <c r="S26" s="11">
        <f t="shared" si="20"/>
        <v>460720.69172619015</v>
      </c>
    </row>
    <row r="27" spans="1:19" x14ac:dyDescent="0.35">
      <c r="A27" t="s">
        <v>56</v>
      </c>
      <c r="E27" s="11">
        <f>+E25-E26</f>
        <v>336448</v>
      </c>
      <c r="F27" s="11">
        <f t="shared" ref="F27:L27" si="21">+F25-F26</f>
        <v>278923</v>
      </c>
      <c r="G27" s="11">
        <f t="shared" si="21"/>
        <v>561802</v>
      </c>
      <c r="H27" s="11">
        <f t="shared" si="21"/>
        <v>778643</v>
      </c>
      <c r="I27" s="11">
        <f t="shared" si="21"/>
        <v>915046</v>
      </c>
      <c r="J27" s="11">
        <f t="shared" si="21"/>
        <v>1011483.0100662099</v>
      </c>
      <c r="K27" s="11">
        <f t="shared" si="21"/>
        <v>1065670.9022920281</v>
      </c>
      <c r="L27" s="11">
        <f t="shared" si="21"/>
        <v>1176212.0246705851</v>
      </c>
      <c r="M27" s="11">
        <f t="shared" ref="M27:S27" si="22">+M25-M26</f>
        <v>1291561.2321260972</v>
      </c>
      <c r="N27" s="11">
        <f t="shared" si="22"/>
        <v>1415441.0252881339</v>
      </c>
      <c r="O27" s="11">
        <f t="shared" si="22"/>
        <v>1531261.1062010673</v>
      </c>
      <c r="P27" s="11">
        <f t="shared" si="22"/>
        <v>1634450.8382291952</v>
      </c>
      <c r="Q27" s="11">
        <f t="shared" si="22"/>
        <v>1720704.0709774797</v>
      </c>
      <c r="R27" s="11">
        <f t="shared" si="22"/>
        <v>1786391.6978379327</v>
      </c>
      <c r="S27" s="11">
        <f t="shared" si="22"/>
        <v>1828937.8720896449</v>
      </c>
    </row>
    <row r="28" spans="1:19" x14ac:dyDescent="0.35">
      <c r="A28" t="s">
        <v>57</v>
      </c>
      <c r="D28">
        <v>0.17</v>
      </c>
      <c r="E28" s="11">
        <f>+E27-E22</f>
        <v>330453</v>
      </c>
      <c r="F28" s="11">
        <f t="shared" ref="F28:I28" si="23">+F27-F22</f>
        <v>218477</v>
      </c>
      <c r="G28" s="11">
        <f t="shared" si="23"/>
        <v>496105</v>
      </c>
      <c r="H28" s="11">
        <f t="shared" si="23"/>
        <v>744558</v>
      </c>
      <c r="I28" s="11">
        <f t="shared" si="23"/>
        <v>809912</v>
      </c>
      <c r="J28" s="11">
        <f>+J27-$D$28*J27</f>
        <v>839530.8983549542</v>
      </c>
      <c r="K28" s="11">
        <f t="shared" ref="K28:L28" si="24">+K27-$D$28*K27</f>
        <v>884506.84890238335</v>
      </c>
      <c r="L28" s="11">
        <f t="shared" si="24"/>
        <v>976255.98047658557</v>
      </c>
      <c r="M28" s="11">
        <f t="shared" ref="M28:S28" si="25">+M27-$D$28*M27</f>
        <v>1071995.8226646606</v>
      </c>
      <c r="N28" s="11">
        <f t="shared" si="25"/>
        <v>1174816.050989151</v>
      </c>
      <c r="O28" s="11">
        <f t="shared" si="25"/>
        <v>1270946.7181468857</v>
      </c>
      <c r="P28" s="11">
        <f t="shared" si="25"/>
        <v>1356594.1957302319</v>
      </c>
      <c r="Q28" s="11">
        <f t="shared" si="25"/>
        <v>1428184.378911308</v>
      </c>
      <c r="R28" s="11">
        <f t="shared" si="25"/>
        <v>1482705.1092054842</v>
      </c>
      <c r="S28" s="11">
        <f t="shared" si="25"/>
        <v>1518018.4338344052</v>
      </c>
    </row>
    <row r="29" spans="1:19" x14ac:dyDescent="0.35">
      <c r="A29" t="s">
        <v>152</v>
      </c>
      <c r="E29" s="11">
        <f>+E27-E28</f>
        <v>5995</v>
      </c>
      <c r="F29" s="11">
        <f t="shared" ref="F29:S29" si="26">+F27-F28</f>
        <v>60446</v>
      </c>
      <c r="G29" s="11">
        <f t="shared" si="26"/>
        <v>65697</v>
      </c>
      <c r="H29" s="11">
        <f t="shared" si="26"/>
        <v>34085</v>
      </c>
      <c r="I29" s="11">
        <f t="shared" si="26"/>
        <v>105134</v>
      </c>
      <c r="J29" s="11">
        <f t="shared" si="26"/>
        <v>171952.11171125574</v>
      </c>
      <c r="K29" s="11">
        <f t="shared" si="26"/>
        <v>181164.05338964472</v>
      </c>
      <c r="L29" s="11">
        <f t="shared" si="26"/>
        <v>199956.04419399949</v>
      </c>
      <c r="M29" s="11">
        <f t="shared" si="26"/>
        <v>219565.40946143656</v>
      </c>
      <c r="N29" s="11">
        <f t="shared" si="26"/>
        <v>240624.97429898288</v>
      </c>
      <c r="O29" s="11">
        <f t="shared" si="26"/>
        <v>260314.38805418159</v>
      </c>
      <c r="P29" s="11">
        <f t="shared" si="26"/>
        <v>277856.64249896328</v>
      </c>
      <c r="Q29" s="11">
        <f t="shared" si="26"/>
        <v>292519.69206617167</v>
      </c>
      <c r="R29" s="11">
        <f t="shared" si="26"/>
        <v>303686.58863244858</v>
      </c>
      <c r="S29" s="11">
        <f t="shared" si="26"/>
        <v>310919.43825523974</v>
      </c>
    </row>
    <row r="31" spans="1:19" x14ac:dyDescent="0.35">
      <c r="A31" s="8" t="s">
        <v>58</v>
      </c>
    </row>
    <row r="33" spans="1:19" x14ac:dyDescent="0.35">
      <c r="E33" s="4" t="s">
        <v>46</v>
      </c>
      <c r="F33" s="4" t="s">
        <v>47</v>
      </c>
      <c r="G33" s="4" t="s">
        <v>48</v>
      </c>
      <c r="H33" s="4" t="s">
        <v>49</v>
      </c>
      <c r="I33" s="4" t="s">
        <v>50</v>
      </c>
      <c r="J33" s="4" t="s">
        <v>51</v>
      </c>
      <c r="K33" s="4" t="s">
        <v>52</v>
      </c>
      <c r="L33" s="4" t="s">
        <v>53</v>
      </c>
      <c r="M33" s="4" t="s">
        <v>128</v>
      </c>
      <c r="N33" s="4" t="s">
        <v>129</v>
      </c>
      <c r="O33" s="4" t="s">
        <v>130</v>
      </c>
      <c r="P33" s="4" t="s">
        <v>131</v>
      </c>
      <c r="Q33" s="4" t="s">
        <v>132</v>
      </c>
      <c r="R33" s="4" t="s">
        <v>133</v>
      </c>
      <c r="S33" s="4" t="s">
        <v>134</v>
      </c>
    </row>
    <row r="34" spans="1:19" x14ac:dyDescent="0.35">
      <c r="A34" t="s">
        <v>59</v>
      </c>
    </row>
    <row r="35" spans="1:19" x14ac:dyDescent="0.35">
      <c r="A35" t="s">
        <v>60</v>
      </c>
      <c r="E35" s="5">
        <v>533818</v>
      </c>
      <c r="F35" s="5">
        <v>671543</v>
      </c>
      <c r="G35" s="5">
        <v>872247</v>
      </c>
      <c r="H35" s="5">
        <v>1110856</v>
      </c>
      <c r="I35" s="5">
        <v>1630666</v>
      </c>
      <c r="J35" s="5">
        <v>1630666</v>
      </c>
      <c r="K35" s="5">
        <v>1630666</v>
      </c>
      <c r="L35" s="5">
        <v>1630666</v>
      </c>
      <c r="M35" s="5">
        <v>1630666</v>
      </c>
      <c r="N35" s="5">
        <v>1630666</v>
      </c>
      <c r="O35" s="5">
        <v>1630666</v>
      </c>
      <c r="P35" s="5">
        <v>1630666</v>
      </c>
      <c r="Q35" s="5">
        <v>1630666</v>
      </c>
      <c r="R35" s="5">
        <v>1630666</v>
      </c>
      <c r="S35" s="5">
        <v>1630666</v>
      </c>
    </row>
    <row r="36" spans="1:19" x14ac:dyDescent="0.35">
      <c r="A36" t="s">
        <v>105</v>
      </c>
      <c r="E36" s="5">
        <v>732500</v>
      </c>
      <c r="F36" s="5">
        <v>976761</v>
      </c>
      <c r="G36" s="5">
        <v>1595448</v>
      </c>
      <c r="H36" s="5">
        <v>1596796</v>
      </c>
      <c r="I36" s="5">
        <v>2372900</v>
      </c>
      <c r="J36" s="11">
        <f t="shared" ref="J36:S36" si="27">+J101/365*J10</f>
        <v>2638071.4987208443</v>
      </c>
      <c r="K36" s="11">
        <f t="shared" si="27"/>
        <v>2761165.47509467</v>
      </c>
      <c r="L36" s="11">
        <f t="shared" si="27"/>
        <v>3019067.6186431963</v>
      </c>
      <c r="M36" s="11">
        <f t="shared" si="27"/>
        <v>3276407.7806979031</v>
      </c>
      <c r="N36" s="11">
        <f t="shared" si="27"/>
        <v>3560027.403406315</v>
      </c>
      <c r="O36" s="11">
        <f t="shared" si="27"/>
        <v>3832083.3324359101</v>
      </c>
      <c r="P36" s="11">
        <f t="shared" si="27"/>
        <v>4082692.5139588867</v>
      </c>
      <c r="Q36" s="11">
        <f t="shared" si="27"/>
        <v>4302299.4059578758</v>
      </c>
      <c r="R36" s="11">
        <f t="shared" si="27"/>
        <v>4482532.5997208571</v>
      </c>
      <c r="S36" s="11">
        <f t="shared" si="27"/>
        <v>4617008.5777124818</v>
      </c>
    </row>
    <row r="37" spans="1:19" x14ac:dyDescent="0.35">
      <c r="A37" t="s">
        <v>61</v>
      </c>
      <c r="E37" s="5">
        <v>211088</v>
      </c>
      <c r="F37" s="5">
        <v>271521</v>
      </c>
      <c r="G37" s="5">
        <v>251274</v>
      </c>
      <c r="H37" s="5">
        <v>271465</v>
      </c>
      <c r="I37" s="5">
        <v>238380</v>
      </c>
      <c r="J37" s="11">
        <f t="shared" ref="J37:S37" si="28">+J102/365*J10</f>
        <v>265036.34064629866</v>
      </c>
      <c r="K37" s="11">
        <f t="shared" si="28"/>
        <v>277403.0930521905</v>
      </c>
      <c r="L37" s="11">
        <f t="shared" si="28"/>
        <v>303313.47508849285</v>
      </c>
      <c r="M37" s="11">
        <f t="shared" si="28"/>
        <v>329167.39712410723</v>
      </c>
      <c r="N37" s="11">
        <f t="shared" si="28"/>
        <v>357661.50995409297</v>
      </c>
      <c r="O37" s="11">
        <f t="shared" si="28"/>
        <v>384993.86539483647</v>
      </c>
      <c r="P37" s="11">
        <f t="shared" si="28"/>
        <v>410171.55312446016</v>
      </c>
      <c r="Q37" s="11">
        <f t="shared" si="28"/>
        <v>432234.56660394353</v>
      </c>
      <c r="R37" s="11">
        <f t="shared" si="28"/>
        <v>450341.86436334765</v>
      </c>
      <c r="S37" s="11">
        <f t="shared" si="28"/>
        <v>463852.12029424804</v>
      </c>
    </row>
    <row r="38" spans="1:19" x14ac:dyDescent="0.35">
      <c r="A38" t="s">
        <v>108</v>
      </c>
      <c r="E38" s="5">
        <v>2244102</v>
      </c>
      <c r="F38" s="5">
        <v>2821830</v>
      </c>
      <c r="G38" s="5">
        <v>3806301</v>
      </c>
      <c r="H38" s="5">
        <v>4730070</v>
      </c>
      <c r="I38" s="5">
        <v>4752741</v>
      </c>
      <c r="J38" s="11">
        <f t="shared" ref="J38:S38" si="29">+J103/365*J12</f>
        <v>5264649.3337915614</v>
      </c>
      <c r="K38" s="11">
        <f t="shared" si="29"/>
        <v>5510300.9853955628</v>
      </c>
      <c r="L38" s="11">
        <f t="shared" si="29"/>
        <v>6024981.6333137564</v>
      </c>
      <c r="M38" s="11">
        <f t="shared" si="29"/>
        <v>6538540.766709514</v>
      </c>
      <c r="N38" s="11">
        <f t="shared" si="29"/>
        <v>7104544.3259254256</v>
      </c>
      <c r="O38" s="11">
        <f t="shared" si="29"/>
        <v>7647470.8789829118</v>
      </c>
      <c r="P38" s="11">
        <f t="shared" si="29"/>
        <v>8147597.3771414068</v>
      </c>
      <c r="Q38" s="11">
        <f t="shared" si="29"/>
        <v>8585854.3683636356</v>
      </c>
      <c r="R38" s="11">
        <f t="shared" si="29"/>
        <v>8945535.5081399791</v>
      </c>
      <c r="S38" s="11">
        <f t="shared" si="29"/>
        <v>9213901.5733841788</v>
      </c>
    </row>
    <row r="39" spans="1:19" x14ac:dyDescent="0.35">
      <c r="A39" t="s">
        <v>115</v>
      </c>
      <c r="E39" s="5">
        <v>116931</v>
      </c>
      <c r="F39" s="5">
        <v>103384</v>
      </c>
      <c r="G39" s="5">
        <v>164888</v>
      </c>
      <c r="H39" s="5">
        <v>298825</v>
      </c>
      <c r="I39" s="5">
        <v>243652</v>
      </c>
      <c r="J39" s="11">
        <f t="shared" ref="J39:S39" si="30">+J104*J10</f>
        <v>270811.63647463004</v>
      </c>
      <c r="K39" s="11">
        <f t="shared" si="30"/>
        <v>283447.8675995745</v>
      </c>
      <c r="L39" s="11">
        <f t="shared" si="30"/>
        <v>309922.85191237909</v>
      </c>
      <c r="M39" s="11">
        <f t="shared" si="30"/>
        <v>336340.14592828183</v>
      </c>
      <c r="N39" s="11">
        <f t="shared" si="30"/>
        <v>365455.16202971229</v>
      </c>
      <c r="O39" s="11">
        <f t="shared" si="30"/>
        <v>393383.10537349759</v>
      </c>
      <c r="P39" s="11">
        <f t="shared" si="30"/>
        <v>419109.42954504216</v>
      </c>
      <c r="Q39" s="11">
        <f t="shared" si="30"/>
        <v>441653.20890515065</v>
      </c>
      <c r="R39" s="11">
        <f t="shared" si="30"/>
        <v>460155.07520167402</v>
      </c>
      <c r="S39" s="11">
        <f t="shared" si="30"/>
        <v>473959.72745772416</v>
      </c>
    </row>
    <row r="40" spans="1:19" x14ac:dyDescent="0.35">
      <c r="A40" t="s">
        <v>62</v>
      </c>
      <c r="E40" s="5">
        <v>428691</v>
      </c>
      <c r="F40" s="5">
        <v>827836</v>
      </c>
      <c r="G40" s="5">
        <v>2909233</v>
      </c>
      <c r="H40" s="5">
        <v>1377217</v>
      </c>
      <c r="I40" s="5">
        <v>637031</v>
      </c>
      <c r="J40" s="11">
        <f t="shared" ref="J40:S40" si="31">+J105*J10</f>
        <v>708134.27061086008</v>
      </c>
      <c r="K40" s="11">
        <f t="shared" si="31"/>
        <v>741176.23449179938</v>
      </c>
      <c r="L40" s="11">
        <f t="shared" si="31"/>
        <v>810404.58800657978</v>
      </c>
      <c r="M40" s="11">
        <f t="shared" si="31"/>
        <v>879482.08952382498</v>
      </c>
      <c r="N40" s="11">
        <f t="shared" si="31"/>
        <v>955613.75417163025</v>
      </c>
      <c r="O40" s="11">
        <f t="shared" si="31"/>
        <v>1028641.3908229287</v>
      </c>
      <c r="P40" s="11">
        <f t="shared" si="31"/>
        <v>1095912.1035584279</v>
      </c>
      <c r="Q40" s="11">
        <f t="shared" si="31"/>
        <v>1154860.9100491644</v>
      </c>
      <c r="R40" s="11">
        <f t="shared" si="31"/>
        <v>1203240.6834052312</v>
      </c>
      <c r="S40" s="11">
        <f t="shared" si="31"/>
        <v>1239337.9039073882</v>
      </c>
    </row>
    <row r="41" spans="1:19" x14ac:dyDescent="0.35">
      <c r="E41" s="5">
        <f t="shared" ref="E41:J41" si="32">+SUM(E35:E40)</f>
        <v>4267130</v>
      </c>
      <c r="F41" s="5">
        <f t="shared" si="32"/>
        <v>5672875</v>
      </c>
      <c r="G41" s="5">
        <f t="shared" si="32"/>
        <v>9599391</v>
      </c>
      <c r="H41" s="5">
        <f t="shared" si="32"/>
        <v>9385229</v>
      </c>
      <c r="I41" s="5">
        <f t="shared" si="32"/>
        <v>9875370</v>
      </c>
      <c r="J41" s="5">
        <f t="shared" si="32"/>
        <v>10777369.080244195</v>
      </c>
      <c r="K41" s="5">
        <f t="shared" ref="K41:S41" si="33">+SUM(K35:K40)</f>
        <v>11204159.655633798</v>
      </c>
      <c r="L41" s="5">
        <f t="shared" si="33"/>
        <v>12098356.166964406</v>
      </c>
      <c r="M41" s="5">
        <f t="shared" si="33"/>
        <v>12990604.179983631</v>
      </c>
      <c r="N41" s="5">
        <f t="shared" si="33"/>
        <v>13973968.155487176</v>
      </c>
      <c r="O41" s="5">
        <f t="shared" si="33"/>
        <v>14917238.573010083</v>
      </c>
      <c r="P41" s="5">
        <f t="shared" si="33"/>
        <v>15786148.977328224</v>
      </c>
      <c r="Q41" s="5">
        <f t="shared" si="33"/>
        <v>16547568.459879771</v>
      </c>
      <c r="R41" s="5">
        <f t="shared" si="33"/>
        <v>17172471.730831087</v>
      </c>
      <c r="S41" s="5">
        <f t="shared" si="33"/>
        <v>17638725.90275602</v>
      </c>
    </row>
    <row r="42" spans="1:19" x14ac:dyDescent="0.35">
      <c r="A42" t="s">
        <v>63</v>
      </c>
      <c r="E42" s="5">
        <v>647102</v>
      </c>
      <c r="F42" s="5">
        <v>1221258</v>
      </c>
      <c r="G42" s="5">
        <v>1802701</v>
      </c>
      <c r="H42" s="5">
        <v>2978814</v>
      </c>
      <c r="I42" s="5">
        <v>3932825</v>
      </c>
      <c r="J42" s="11">
        <f>+I$42+(J115*J114)</f>
        <v>4309004.2</v>
      </c>
      <c r="K42" s="11">
        <f>+J$42+(K115*K114)</f>
        <v>4826250.6000000006</v>
      </c>
      <c r="L42" s="11">
        <f>+K$42+(L115*L114)</f>
        <v>5296474.6000000006</v>
      </c>
      <c r="M42" s="11">
        <f t="shared" ref="M42:S42" si="34">+L$42+(M115*M114*M10)</f>
        <v>5836714.4250349468</v>
      </c>
      <c r="N42" s="11">
        <f t="shared" si="34"/>
        <v>6423719.6790409572</v>
      </c>
      <c r="O42" s="11">
        <f t="shared" si="34"/>
        <v>7055583.6494633229</v>
      </c>
      <c r="P42" s="11">
        <f t="shared" si="34"/>
        <v>7728770.0282793362</v>
      </c>
      <c r="Q42" s="11">
        <f t="shared" si="34"/>
        <v>8438166.9147155974</v>
      </c>
      <c r="R42" s="11">
        <f t="shared" si="34"/>
        <v>9177282.0644393619</v>
      </c>
      <c r="S42" s="11">
        <f t="shared" si="34"/>
        <v>9938570.6686548386</v>
      </c>
    </row>
    <row r="43" spans="1:19" x14ac:dyDescent="0.35">
      <c r="A43" t="s">
        <v>64</v>
      </c>
      <c r="E43" s="5">
        <v>113139</v>
      </c>
      <c r="F43" s="5">
        <v>167092</v>
      </c>
      <c r="G43" s="5">
        <v>225986</v>
      </c>
      <c r="H43" s="5">
        <v>357819</v>
      </c>
      <c r="I43" s="5">
        <v>505050</v>
      </c>
      <c r="J43" s="11">
        <f>+I$43+J16</f>
        <v>774130.33750000002</v>
      </c>
      <c r="K43" s="11">
        <f t="shared" ref="K43:S43" si="35">+J$43+K16</f>
        <v>1051617.9357062499</v>
      </c>
      <c r="L43" s="11">
        <f t="shared" si="35"/>
        <v>1347926.5998533093</v>
      </c>
      <c r="M43" s="11">
        <f t="shared" si="35"/>
        <v>1657887.6178648246</v>
      </c>
      <c r="N43" s="11">
        <f t="shared" si="35"/>
        <v>1985925.5222276791</v>
      </c>
      <c r="O43" s="11">
        <f t="shared" si="35"/>
        <v>2334292.3635375216</v>
      </c>
      <c r="P43" s="11">
        <f t="shared" si="35"/>
        <v>2704913.7294826969</v>
      </c>
      <c r="Q43" s="11">
        <f t="shared" si="35"/>
        <v>3099286.4489382328</v>
      </c>
      <c r="R43" s="11">
        <f t="shared" si="35"/>
        <v>3518388.565501756</v>
      </c>
      <c r="S43" s="11">
        <f t="shared" si="35"/>
        <v>3962611.7051683581</v>
      </c>
    </row>
    <row r="44" spans="1:19" x14ac:dyDescent="0.35">
      <c r="A44" t="s">
        <v>65</v>
      </c>
      <c r="E44" s="5">
        <f>+E42-E43</f>
        <v>533963</v>
      </c>
      <c r="F44" s="5">
        <f t="shared" ref="F44:I44" si="36">+F42-F43</f>
        <v>1054166</v>
      </c>
      <c r="G44" s="5">
        <f t="shared" si="36"/>
        <v>1576715</v>
      </c>
      <c r="H44" s="5">
        <f t="shared" si="36"/>
        <v>2620995</v>
      </c>
      <c r="I44" s="5">
        <f t="shared" si="36"/>
        <v>3427775</v>
      </c>
      <c r="J44" s="11">
        <f>+J42-J43</f>
        <v>3534873.8625000003</v>
      </c>
      <c r="K44" s="11">
        <f t="shared" ref="K44:S44" si="37">+K42-K43</f>
        <v>3774632.6642937507</v>
      </c>
      <c r="L44" s="11">
        <f t="shared" si="37"/>
        <v>3948548.0001466912</v>
      </c>
      <c r="M44" s="11">
        <f t="shared" si="37"/>
        <v>4178826.8071701219</v>
      </c>
      <c r="N44" s="11">
        <f t="shared" si="37"/>
        <v>4437794.1568132779</v>
      </c>
      <c r="O44" s="11">
        <f t="shared" si="37"/>
        <v>4721291.2859258018</v>
      </c>
      <c r="P44" s="11">
        <f t="shared" si="37"/>
        <v>5023856.2987966388</v>
      </c>
      <c r="Q44" s="11">
        <f t="shared" si="37"/>
        <v>5338880.4657773646</v>
      </c>
      <c r="R44" s="11">
        <f t="shared" si="37"/>
        <v>5658893.4989376059</v>
      </c>
      <c r="S44" s="11">
        <f t="shared" si="37"/>
        <v>5975958.9634864805</v>
      </c>
    </row>
    <row r="45" spans="1:19" x14ac:dyDescent="0.35">
      <c r="A45" t="s">
        <v>67</v>
      </c>
      <c r="E45" s="5">
        <v>0</v>
      </c>
      <c r="F45" s="5">
        <v>181883</v>
      </c>
      <c r="G45" s="5">
        <v>453168</v>
      </c>
      <c r="H45" s="5">
        <v>631339</v>
      </c>
      <c r="I45" s="5">
        <v>781742</v>
      </c>
      <c r="J45" s="11">
        <f>+I$45+(J116*J114)</f>
        <v>805562.8</v>
      </c>
      <c r="K45" s="11">
        <f>+J$45+(K116*K114)</f>
        <v>838316.4</v>
      </c>
      <c r="L45" s="11">
        <f>+K$45+(L116*L114)</f>
        <v>868092.4</v>
      </c>
      <c r="M45" s="11">
        <f t="shared" ref="M45:S45" si="38">+L$45+(M116*M114*M10)</f>
        <v>902302.01292966877</v>
      </c>
      <c r="N45" s="11">
        <f t="shared" si="38"/>
        <v>939472.9536797856</v>
      </c>
      <c r="O45" s="11">
        <f t="shared" si="38"/>
        <v>979484.48346834676</v>
      </c>
      <c r="P45" s="11">
        <f t="shared" si="38"/>
        <v>1022112.6726199546</v>
      </c>
      <c r="Q45" s="11">
        <f t="shared" si="38"/>
        <v>1067033.8201805344</v>
      </c>
      <c r="R45" s="11">
        <f t="shared" si="38"/>
        <v>1113836.8176842236</v>
      </c>
      <c r="S45" s="11">
        <f t="shared" si="38"/>
        <v>1162043.9051130237</v>
      </c>
    </row>
    <row r="46" spans="1:19" x14ac:dyDescent="0.35">
      <c r="A46" t="s">
        <v>81</v>
      </c>
      <c r="E46" s="5">
        <v>100184</v>
      </c>
      <c r="F46" s="5">
        <v>97280</v>
      </c>
      <c r="G46" s="5">
        <v>95382</v>
      </c>
      <c r="H46" s="5">
        <v>149356</v>
      </c>
      <c r="I46" s="5">
        <v>191531</v>
      </c>
      <c r="J46" s="11">
        <v>191531</v>
      </c>
      <c r="K46" s="11">
        <v>191531</v>
      </c>
      <c r="L46" s="11">
        <v>191531</v>
      </c>
      <c r="M46" s="11">
        <v>191531</v>
      </c>
      <c r="N46" s="11">
        <v>191531</v>
      </c>
      <c r="O46" s="11">
        <v>191531</v>
      </c>
      <c r="P46" s="11">
        <v>191531</v>
      </c>
      <c r="Q46" s="11">
        <v>191531</v>
      </c>
      <c r="R46" s="11">
        <v>191531</v>
      </c>
      <c r="S46" s="11">
        <v>191531</v>
      </c>
    </row>
    <row r="47" spans="1:19" x14ac:dyDescent="0.35">
      <c r="A47" t="s">
        <v>66</v>
      </c>
      <c r="E47" s="5">
        <v>27354</v>
      </c>
      <c r="F47" s="5">
        <v>244306</v>
      </c>
      <c r="G47" s="5">
        <v>390556</v>
      </c>
      <c r="H47" s="5">
        <v>510801</v>
      </c>
      <c r="I47" s="5">
        <v>494985</v>
      </c>
      <c r="J47" s="11">
        <f t="shared" ref="J47:S47" si="39">+I$47+J118-J17</f>
        <v>467280.68955000001</v>
      </c>
      <c r="K47" s="11">
        <f t="shared" si="39"/>
        <v>441126.98935588653</v>
      </c>
      <c r="L47" s="11">
        <f t="shared" si="39"/>
        <v>416437.11176163756</v>
      </c>
      <c r="M47" s="11">
        <f t="shared" si="39"/>
        <v>393129.12661633868</v>
      </c>
      <c r="N47" s="11">
        <f t="shared" si="39"/>
        <v>371125.68939962221</v>
      </c>
      <c r="O47" s="11">
        <f t="shared" si="39"/>
        <v>350353.78456392535</v>
      </c>
      <c r="P47" s="11">
        <f t="shared" si="39"/>
        <v>330744.48324188247</v>
      </c>
      <c r="Q47" s="11">
        <f t="shared" si="39"/>
        <v>312232.71451483428</v>
      </c>
      <c r="R47" s="11">
        <f t="shared" si="39"/>
        <v>294757.04948343901</v>
      </c>
      <c r="S47" s="11">
        <f t="shared" si="39"/>
        <v>278259.49742385093</v>
      </c>
    </row>
    <row r="48" spans="1:19" x14ac:dyDescent="0.35">
      <c r="A48" t="s">
        <v>68</v>
      </c>
      <c r="E48" s="5">
        <v>400927</v>
      </c>
      <c r="F48" s="5">
        <v>485989</v>
      </c>
      <c r="G48" s="5">
        <v>411819</v>
      </c>
      <c r="H48" s="5">
        <v>482864</v>
      </c>
      <c r="I48" s="5">
        <v>557693</v>
      </c>
      <c r="J48" s="11">
        <f>+I$48</f>
        <v>557693</v>
      </c>
      <c r="K48" s="11">
        <f t="shared" ref="K48:S48" si="40">+J$48</f>
        <v>557693</v>
      </c>
      <c r="L48" s="11">
        <f t="shared" si="40"/>
        <v>557693</v>
      </c>
      <c r="M48" s="11">
        <f t="shared" si="40"/>
        <v>557693</v>
      </c>
      <c r="N48" s="11">
        <f t="shared" si="40"/>
        <v>557693</v>
      </c>
      <c r="O48" s="11">
        <f t="shared" si="40"/>
        <v>557693</v>
      </c>
      <c r="P48" s="11">
        <f t="shared" si="40"/>
        <v>557693</v>
      </c>
      <c r="Q48" s="11">
        <f t="shared" si="40"/>
        <v>557693</v>
      </c>
      <c r="R48" s="11">
        <f t="shared" si="40"/>
        <v>557693</v>
      </c>
      <c r="S48" s="11">
        <f t="shared" si="40"/>
        <v>557693</v>
      </c>
    </row>
    <row r="49" spans="1:19" x14ac:dyDescent="0.35">
      <c r="A49" t="s">
        <v>69</v>
      </c>
      <c r="E49" s="5">
        <f>74704+11154</f>
        <v>85858</v>
      </c>
      <c r="F49" s="5">
        <f>63978+4161</f>
        <v>68139</v>
      </c>
      <c r="G49" s="5">
        <f>43053+10004</f>
        <v>53057</v>
      </c>
      <c r="H49" s="5">
        <f>37735+9163</f>
        <v>46898</v>
      </c>
      <c r="I49" s="5">
        <f>34832+20256</f>
        <v>55088</v>
      </c>
      <c r="J49" s="11">
        <f>+I$49</f>
        <v>55088</v>
      </c>
      <c r="K49" s="11">
        <f t="shared" ref="K49:S49" si="41">+J$49</f>
        <v>55088</v>
      </c>
      <c r="L49" s="11">
        <f t="shared" si="41"/>
        <v>55088</v>
      </c>
      <c r="M49" s="11">
        <f t="shared" si="41"/>
        <v>55088</v>
      </c>
      <c r="N49" s="11">
        <f t="shared" si="41"/>
        <v>55088</v>
      </c>
      <c r="O49" s="11">
        <f t="shared" si="41"/>
        <v>55088</v>
      </c>
      <c r="P49" s="11">
        <f t="shared" si="41"/>
        <v>55088</v>
      </c>
      <c r="Q49" s="11">
        <f t="shared" si="41"/>
        <v>55088</v>
      </c>
      <c r="R49" s="11">
        <f t="shared" si="41"/>
        <v>55088</v>
      </c>
      <c r="S49" s="11">
        <f t="shared" si="41"/>
        <v>55088</v>
      </c>
    </row>
    <row r="50" spans="1:19" x14ac:dyDescent="0.35">
      <c r="E50" s="5">
        <f>+E41+E44+E45+E47+E48+E49+E46</f>
        <v>5415416</v>
      </c>
      <c r="F50" s="5">
        <f t="shared" ref="F50:I50" si="42">+F41+F44+F45+F47+F48+F49+F46</f>
        <v>7804638</v>
      </c>
      <c r="G50" s="5">
        <f t="shared" si="42"/>
        <v>12580088</v>
      </c>
      <c r="H50" s="5">
        <f t="shared" si="42"/>
        <v>13827482</v>
      </c>
      <c r="I50" s="5">
        <f t="shared" si="42"/>
        <v>15384184</v>
      </c>
      <c r="J50" s="11">
        <f>+J41+J44+SUM(J45:J49)</f>
        <v>16389398.432294196</v>
      </c>
      <c r="K50" s="11">
        <f t="shared" ref="K50:S50" si="43">+K41+K44+SUM(K45:K49)</f>
        <v>17062547.709283434</v>
      </c>
      <c r="L50" s="11">
        <f t="shared" si="43"/>
        <v>18135745.678872734</v>
      </c>
      <c r="M50" s="11">
        <f t="shared" si="43"/>
        <v>19269174.126699761</v>
      </c>
      <c r="N50" s="11">
        <f t="shared" si="43"/>
        <v>20526672.955379862</v>
      </c>
      <c r="O50" s="11">
        <f t="shared" si="43"/>
        <v>21772680.126968157</v>
      </c>
      <c r="P50" s="11">
        <f t="shared" si="43"/>
        <v>22967174.431986701</v>
      </c>
      <c r="Q50" s="11">
        <f t="shared" si="43"/>
        <v>24070027.460352503</v>
      </c>
      <c r="R50" s="11">
        <f t="shared" si="43"/>
        <v>25044271.096936356</v>
      </c>
      <c r="S50" s="11">
        <f t="shared" si="43"/>
        <v>25859300.268779375</v>
      </c>
    </row>
    <row r="51" spans="1:19" x14ac:dyDescent="0.35">
      <c r="E51" s="5"/>
      <c r="F51" s="5"/>
      <c r="G51" s="5"/>
      <c r="H51" s="5"/>
      <c r="I51" s="5"/>
    </row>
    <row r="52" spans="1:19" x14ac:dyDescent="0.35">
      <c r="A52" t="s">
        <v>70</v>
      </c>
      <c r="E52" s="5"/>
      <c r="F52" s="5"/>
      <c r="G52" s="5"/>
      <c r="H52" s="5"/>
      <c r="I52" s="5"/>
    </row>
    <row r="53" spans="1:19" x14ac:dyDescent="0.35">
      <c r="A53" t="s">
        <v>116</v>
      </c>
      <c r="E53" s="5">
        <v>439175</v>
      </c>
      <c r="F53" s="5">
        <v>396153</v>
      </c>
      <c r="G53" s="5">
        <v>613112</v>
      </c>
      <c r="H53" s="5">
        <v>678331</v>
      </c>
      <c r="I53" s="5">
        <v>1188242</v>
      </c>
      <c r="J53" s="11">
        <f t="shared" ref="J53:S53" si="44">+J106/365*J12</f>
        <v>1316239.9663493347</v>
      </c>
      <c r="K53" s="11">
        <f t="shared" si="44"/>
        <v>1377656.5016474309</v>
      </c>
      <c r="L53" s="11">
        <f t="shared" si="44"/>
        <v>1506334.2531451944</v>
      </c>
      <c r="M53" s="11">
        <f t="shared" si="44"/>
        <v>1634731.6094744145</v>
      </c>
      <c r="N53" s="11">
        <f t="shared" si="44"/>
        <v>1776240.8456079853</v>
      </c>
      <c r="O53" s="11">
        <f t="shared" si="44"/>
        <v>1911980.4899067404</v>
      </c>
      <c r="P53" s="11">
        <f t="shared" si="44"/>
        <v>2037019.48934803</v>
      </c>
      <c r="Q53" s="11">
        <f t="shared" si="44"/>
        <v>2146590.19972301</v>
      </c>
      <c r="R53" s="11">
        <f t="shared" si="44"/>
        <v>2236515.7885513064</v>
      </c>
      <c r="S53" s="11">
        <f t="shared" si="44"/>
        <v>2303611.2622078457</v>
      </c>
    </row>
    <row r="54" spans="1:19" x14ac:dyDescent="0.35">
      <c r="A54" t="s">
        <v>117</v>
      </c>
      <c r="E54" s="5">
        <v>166325</v>
      </c>
      <c r="F54" s="5">
        <v>240728</v>
      </c>
      <c r="G54" s="5">
        <v>463730</v>
      </c>
      <c r="H54" s="5">
        <v>408743</v>
      </c>
      <c r="I54" s="5">
        <v>571178</v>
      </c>
      <c r="J54" s="11">
        <f t="shared" ref="J54:S54" si="45">+J107*J10</f>
        <v>635054.44385937997</v>
      </c>
      <c r="K54" s="11">
        <f t="shared" si="45"/>
        <v>664686.45980224723</v>
      </c>
      <c r="L54" s="11">
        <f t="shared" si="45"/>
        <v>726770.41106011358</v>
      </c>
      <c r="M54" s="11">
        <f t="shared" si="45"/>
        <v>788719.07832541573</v>
      </c>
      <c r="N54" s="11">
        <f t="shared" si="45"/>
        <v>856993.91540016211</v>
      </c>
      <c r="O54" s="11">
        <f t="shared" si="45"/>
        <v>922485.06178960227</v>
      </c>
      <c r="P54" s="11">
        <f t="shared" si="45"/>
        <v>982813.40181954368</v>
      </c>
      <c r="Q54" s="11">
        <f t="shared" si="45"/>
        <v>1035678.6606776633</v>
      </c>
      <c r="R54" s="11">
        <f t="shared" si="45"/>
        <v>1079065.6161432934</v>
      </c>
      <c r="S54" s="11">
        <f t="shared" si="45"/>
        <v>1111437.5846275922</v>
      </c>
    </row>
    <row r="55" spans="1:19" x14ac:dyDescent="0.35">
      <c r="A55" t="s">
        <v>71</v>
      </c>
      <c r="E55" s="5">
        <v>265141</v>
      </c>
      <c r="F55" s="5">
        <v>167611</v>
      </c>
      <c r="G55" s="5">
        <v>437169</v>
      </c>
      <c r="H55" s="5">
        <v>445664</v>
      </c>
      <c r="I55" s="5">
        <v>261147</v>
      </c>
      <c r="J55" s="11">
        <f>+J50-J68-J60-J59-J57-J56-J54-J53</f>
        <v>745513.41268636705</v>
      </c>
      <c r="K55" s="11">
        <f t="shared" ref="K55:S55" si="46">+K50-K68-K60-K59-K57-K56-K54-K53</f>
        <v>1033123.5280087795</v>
      </c>
      <c r="L55" s="11">
        <f t="shared" si="46"/>
        <v>1516118.7233182949</v>
      </c>
      <c r="M55" s="11">
        <f t="shared" si="46"/>
        <v>2001168.4739212007</v>
      </c>
      <c r="N55" s="11">
        <f t="shared" si="46"/>
        <v>2518758.2132101874</v>
      </c>
      <c r="O55" s="11">
        <f t="shared" si="46"/>
        <v>2982277.7333234129</v>
      </c>
      <c r="P55" s="11">
        <f t="shared" si="46"/>
        <v>3368263.8900396135</v>
      </c>
      <c r="Q55" s="11">
        <f t="shared" si="46"/>
        <v>3654494.6404675897</v>
      </c>
      <c r="R55" s="11">
        <f t="shared" si="46"/>
        <v>3821892.1416916363</v>
      </c>
      <c r="S55" s="11">
        <f t="shared" si="46"/>
        <v>3856255.8318267246</v>
      </c>
    </row>
    <row r="56" spans="1:19" x14ac:dyDescent="0.35">
      <c r="A56" t="s">
        <v>72</v>
      </c>
      <c r="E56" s="5">
        <v>1732504</v>
      </c>
      <c r="F56" s="5">
        <v>2127957</v>
      </c>
      <c r="G56" s="5">
        <v>3172874</v>
      </c>
      <c r="H56" s="5">
        <v>2702669</v>
      </c>
      <c r="I56" s="5">
        <v>2704412</v>
      </c>
      <c r="J56" s="5">
        <v>2704412</v>
      </c>
      <c r="K56" s="5">
        <v>2704412</v>
      </c>
      <c r="L56" s="5">
        <v>2704412</v>
      </c>
      <c r="M56" s="5">
        <v>2704412</v>
      </c>
      <c r="N56" s="5">
        <v>2704412</v>
      </c>
      <c r="O56" s="5">
        <v>2704412</v>
      </c>
      <c r="P56" s="5">
        <v>2704412</v>
      </c>
      <c r="Q56" s="5">
        <v>2704412</v>
      </c>
      <c r="R56" s="5">
        <v>2704412</v>
      </c>
      <c r="S56" s="5">
        <v>2704412</v>
      </c>
    </row>
    <row r="57" spans="1:19" x14ac:dyDescent="0.35">
      <c r="A57" t="s">
        <v>80</v>
      </c>
      <c r="E57" s="5">
        <v>527021</v>
      </c>
      <c r="F57" s="5">
        <v>753127</v>
      </c>
      <c r="G57" s="5">
        <v>2443079</v>
      </c>
      <c r="H57" s="5">
        <v>1529691</v>
      </c>
      <c r="I57" s="5">
        <v>711921</v>
      </c>
      <c r="J57" s="11">
        <f t="shared" ref="J57:S57" si="47">+J108*J10</f>
        <v>791389.76944166003</v>
      </c>
      <c r="K57" s="11">
        <f t="shared" si="47"/>
        <v>828316.48413812462</v>
      </c>
      <c r="L57" s="11">
        <f t="shared" si="47"/>
        <v>905684.03009749041</v>
      </c>
      <c r="M57" s="11">
        <f t="shared" si="47"/>
        <v>982882.98835745547</v>
      </c>
      <c r="N57" s="11">
        <f t="shared" si="47"/>
        <v>1067965.4692277331</v>
      </c>
      <c r="O57" s="11">
        <f t="shared" si="47"/>
        <v>1149578.9808608955</v>
      </c>
      <c r="P57" s="11">
        <f t="shared" si="47"/>
        <v>1224758.7257925996</v>
      </c>
      <c r="Q57" s="11">
        <f t="shared" si="47"/>
        <v>1290638.1561685957</v>
      </c>
      <c r="R57" s="11">
        <f t="shared" si="47"/>
        <v>1344705.9499061729</v>
      </c>
      <c r="S57" s="11">
        <f t="shared" si="47"/>
        <v>1385047.1284033579</v>
      </c>
    </row>
    <row r="58" spans="1:19" x14ac:dyDescent="0.35">
      <c r="E58" s="5">
        <f>+SUM(E53:E57)</f>
        <v>3130166</v>
      </c>
      <c r="F58" s="5">
        <f t="shared" ref="F58:I58" si="48">+SUM(F53:F57)</f>
        <v>3685576</v>
      </c>
      <c r="G58" s="5">
        <f t="shared" si="48"/>
        <v>7129964</v>
      </c>
      <c r="H58" s="5">
        <f t="shared" si="48"/>
        <v>5765098</v>
      </c>
      <c r="I58" s="5">
        <f t="shared" si="48"/>
        <v>5436900</v>
      </c>
      <c r="J58" s="5">
        <f t="shared" ref="J58" si="49">+SUM(J53:J57)</f>
        <v>6192609.5923367422</v>
      </c>
      <c r="K58" s="5">
        <f t="shared" ref="K58" si="50">+SUM(K53:K57)</f>
        <v>6608194.9735965822</v>
      </c>
      <c r="L58" s="5">
        <f t="shared" ref="L58" si="51">+SUM(L53:L57)</f>
        <v>7359319.4176210929</v>
      </c>
      <c r="M58" s="5">
        <f t="shared" ref="M58" si="52">+SUM(M53:M57)</f>
        <v>8111914.1500784857</v>
      </c>
      <c r="N58" s="5">
        <f t="shared" ref="N58" si="53">+SUM(N53:N57)</f>
        <v>8924370.4434460681</v>
      </c>
      <c r="O58" s="5">
        <f t="shared" ref="O58" si="54">+SUM(O53:O57)</f>
        <v>9670734.2658806518</v>
      </c>
      <c r="P58" s="5">
        <f t="shared" ref="P58" si="55">+SUM(P53:P57)</f>
        <v>10317267.506999787</v>
      </c>
      <c r="Q58" s="5">
        <f t="shared" ref="Q58" si="56">+SUM(Q53:Q57)</f>
        <v>10831813.657036858</v>
      </c>
      <c r="R58" s="5">
        <f t="shared" ref="R58" si="57">+SUM(R53:R57)</f>
        <v>11186591.496292409</v>
      </c>
      <c r="S58" s="5">
        <f t="shared" ref="S58" si="58">+SUM(S53:S57)</f>
        <v>11360763.80706552</v>
      </c>
    </row>
    <row r="59" spans="1:19" x14ac:dyDescent="0.35">
      <c r="A59" t="s">
        <v>73</v>
      </c>
      <c r="E59" s="5">
        <v>1176546</v>
      </c>
      <c r="F59" s="5">
        <v>2207436</v>
      </c>
      <c r="G59" s="5">
        <f>2948971+21556</f>
        <v>2970527</v>
      </c>
      <c r="H59" s="5">
        <f>4311322+29729</f>
        <v>4341051</v>
      </c>
      <c r="I59" s="5">
        <f>5861116+21563</f>
        <v>5882679</v>
      </c>
      <c r="J59" s="5">
        <f t="shared" ref="J59:S59" si="59">5861116+21563</f>
        <v>5882679</v>
      </c>
      <c r="K59" s="5">
        <f t="shared" si="59"/>
        <v>5882679</v>
      </c>
      <c r="L59" s="5">
        <f t="shared" si="59"/>
        <v>5882679</v>
      </c>
      <c r="M59" s="5">
        <f t="shared" si="59"/>
        <v>5882679</v>
      </c>
      <c r="N59" s="5">
        <f t="shared" si="59"/>
        <v>5882679</v>
      </c>
      <c r="O59" s="5">
        <f t="shared" si="59"/>
        <v>5882679</v>
      </c>
      <c r="P59" s="5">
        <f t="shared" si="59"/>
        <v>5882679</v>
      </c>
      <c r="Q59" s="5">
        <f t="shared" si="59"/>
        <v>5882679</v>
      </c>
      <c r="R59" s="5">
        <f t="shared" si="59"/>
        <v>5882679</v>
      </c>
      <c r="S59" s="5">
        <f t="shared" si="59"/>
        <v>5882679</v>
      </c>
    </row>
    <row r="60" spans="1:19" x14ac:dyDescent="0.35">
      <c r="A60" t="s">
        <v>74</v>
      </c>
      <c r="E60" s="5">
        <v>62812</v>
      </c>
      <c r="F60" s="5">
        <v>140861</v>
      </c>
      <c r="G60" s="5">
        <v>177283</v>
      </c>
      <c r="H60" s="5">
        <v>194071</v>
      </c>
      <c r="I60" s="5">
        <v>240877</v>
      </c>
      <c r="J60" s="11">
        <f t="shared" ref="J60:S60" si="60">+J$122*(J44+J45+J46+J47)</f>
        <v>249962.41760250006</v>
      </c>
      <c r="K60" s="11">
        <f t="shared" si="60"/>
        <v>262280.35268248187</v>
      </c>
      <c r="L60" s="11">
        <f t="shared" si="60"/>
        <v>271230.42559541645</v>
      </c>
      <c r="M60" s="11">
        <f t="shared" si="60"/>
        <v>283289.44733580644</v>
      </c>
      <c r="N60" s="11">
        <f t="shared" si="60"/>
        <v>296996.1899946343</v>
      </c>
      <c r="O60" s="11">
        <f t="shared" si="60"/>
        <v>312133.02769790369</v>
      </c>
      <c r="P60" s="11">
        <f t="shared" si="60"/>
        <v>328412.22273292381</v>
      </c>
      <c r="Q60" s="11">
        <f t="shared" si="60"/>
        <v>345483.90002363664</v>
      </c>
      <c r="R60" s="11">
        <f t="shared" si="60"/>
        <v>362950.91830526345</v>
      </c>
      <c r="S60" s="11">
        <f t="shared" si="60"/>
        <v>380389.66830116778</v>
      </c>
    </row>
    <row r="61" spans="1:19" x14ac:dyDescent="0.35">
      <c r="E61" s="5">
        <f>+E58+E59+E60</f>
        <v>4369524</v>
      </c>
      <c r="F61" s="5">
        <f t="shared" ref="F61:S61" si="61">+F58+F59+F60</f>
        <v>6033873</v>
      </c>
      <c r="G61" s="5">
        <f t="shared" si="61"/>
        <v>10277774</v>
      </c>
      <c r="H61" s="5">
        <f t="shared" si="61"/>
        <v>10300220</v>
      </c>
      <c r="I61" s="5">
        <f t="shared" si="61"/>
        <v>11560456</v>
      </c>
      <c r="J61" s="5">
        <f t="shared" si="61"/>
        <v>12325251.009939242</v>
      </c>
      <c r="K61" s="5">
        <f t="shared" si="61"/>
        <v>12753154.326279065</v>
      </c>
      <c r="L61" s="5">
        <f t="shared" si="61"/>
        <v>13513228.843216509</v>
      </c>
      <c r="M61" s="5">
        <f t="shared" si="61"/>
        <v>14277882.597414292</v>
      </c>
      <c r="N61" s="5">
        <f t="shared" si="61"/>
        <v>15104045.633440703</v>
      </c>
      <c r="O61" s="5">
        <f t="shared" si="61"/>
        <v>15865546.293578556</v>
      </c>
      <c r="P61" s="5">
        <f t="shared" si="61"/>
        <v>16528358.729732711</v>
      </c>
      <c r="Q61" s="5">
        <f t="shared" si="61"/>
        <v>17059976.557060495</v>
      </c>
      <c r="R61" s="5">
        <f t="shared" si="61"/>
        <v>17432221.414597671</v>
      </c>
      <c r="S61" s="5">
        <f t="shared" si="61"/>
        <v>17623832.475366689</v>
      </c>
    </row>
    <row r="62" spans="1:19" x14ac:dyDescent="0.35">
      <c r="A62" t="s">
        <v>75</v>
      </c>
      <c r="E62" s="5"/>
      <c r="F62" s="5"/>
      <c r="G62" s="5"/>
      <c r="H62" s="5"/>
      <c r="I62" s="5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x14ac:dyDescent="0.35">
      <c r="A63" t="s">
        <v>76</v>
      </c>
      <c r="E63" s="5">
        <v>708586</v>
      </c>
      <c r="F63" s="5">
        <v>1201581</v>
      </c>
      <c r="G63" s="5">
        <v>1577110</v>
      </c>
      <c r="H63" s="5">
        <v>2077038</v>
      </c>
      <c r="I63" s="5">
        <v>2077038</v>
      </c>
      <c r="J63" s="5">
        <v>2077038</v>
      </c>
      <c r="K63" s="5">
        <v>2077038</v>
      </c>
      <c r="L63" s="5">
        <v>2077038</v>
      </c>
      <c r="M63" s="5">
        <v>2077038</v>
      </c>
      <c r="N63" s="5">
        <v>2077038</v>
      </c>
      <c r="O63" s="5">
        <v>2077038</v>
      </c>
      <c r="P63" s="5">
        <v>2077038</v>
      </c>
      <c r="Q63" s="5">
        <v>2077038</v>
      </c>
      <c r="R63" s="5">
        <v>2077038</v>
      </c>
      <c r="S63" s="5">
        <v>2077038</v>
      </c>
    </row>
    <row r="64" spans="1:19" x14ac:dyDescent="0.35">
      <c r="A64" t="s">
        <v>77</v>
      </c>
      <c r="E64" s="5"/>
      <c r="F64" s="5"/>
      <c r="G64" s="5"/>
      <c r="H64" s="5">
        <v>276886</v>
      </c>
      <c r="I64" s="5">
        <v>276886</v>
      </c>
      <c r="J64" s="5">
        <v>276886</v>
      </c>
      <c r="K64" s="5">
        <v>276886</v>
      </c>
      <c r="L64" s="5">
        <v>276886</v>
      </c>
      <c r="M64" s="5">
        <v>276886</v>
      </c>
      <c r="N64" s="5">
        <v>276886</v>
      </c>
      <c r="O64" s="5">
        <v>276886</v>
      </c>
      <c r="P64" s="5">
        <v>276886</v>
      </c>
      <c r="Q64" s="5">
        <v>276886</v>
      </c>
      <c r="R64" s="5">
        <v>276886</v>
      </c>
      <c r="S64" s="5">
        <v>276886</v>
      </c>
    </row>
    <row r="65" spans="1:19" x14ac:dyDescent="0.35">
      <c r="A65" t="s">
        <v>78</v>
      </c>
      <c r="E65" s="5">
        <v>337260</v>
      </c>
      <c r="F65" s="5">
        <v>570348</v>
      </c>
      <c r="G65" s="5">
        <v>668232</v>
      </c>
      <c r="H65" s="5">
        <v>1147767</v>
      </c>
      <c r="I65" s="5">
        <v>1433964</v>
      </c>
      <c r="J65" s="11">
        <f>+I$65+J23</f>
        <v>1674436.4223549543</v>
      </c>
      <c r="K65" s="11">
        <f t="shared" ref="K65:S65" si="62">+J$65+K23</f>
        <v>1919682.3830043692</v>
      </c>
      <c r="L65" s="11">
        <f t="shared" si="62"/>
        <v>2232805.8356562261</v>
      </c>
      <c r="M65" s="11">
        <f t="shared" si="62"/>
        <v>2601580.5292854686</v>
      </c>
      <c r="N65" s="11">
        <f t="shared" si="62"/>
        <v>3032916.3219391601</v>
      </c>
      <c r="O65" s="11">
        <f t="shared" si="62"/>
        <v>3517422.8333896007</v>
      </c>
      <c r="P65" s="11">
        <f t="shared" si="62"/>
        <v>4049104.7022539889</v>
      </c>
      <c r="Q65" s="11">
        <f t="shared" si="62"/>
        <v>4620339.9032920096</v>
      </c>
      <c r="R65" s="11">
        <f t="shared" si="62"/>
        <v>5222338.6823386839</v>
      </c>
      <c r="S65" s="11">
        <f t="shared" si="62"/>
        <v>5845756.7934126835</v>
      </c>
    </row>
    <row r="66" spans="1:19" x14ac:dyDescent="0.35">
      <c r="A66" t="s">
        <v>79</v>
      </c>
      <c r="E66" s="5">
        <v>46</v>
      </c>
      <c r="F66" s="5">
        <v>-1144</v>
      </c>
      <c r="G66" s="5">
        <v>57020</v>
      </c>
      <c r="H66" s="5">
        <v>122152</v>
      </c>
      <c r="I66" s="5">
        <v>131868</v>
      </c>
      <c r="J66" s="5">
        <v>131868</v>
      </c>
      <c r="K66" s="5">
        <v>131868</v>
      </c>
      <c r="L66" s="5">
        <v>131868</v>
      </c>
      <c r="M66" s="5">
        <v>131868</v>
      </c>
      <c r="N66" s="5">
        <v>131868</v>
      </c>
      <c r="O66" s="5">
        <v>131868</v>
      </c>
      <c r="P66" s="5">
        <v>131868</v>
      </c>
      <c r="Q66" s="5">
        <v>131868</v>
      </c>
      <c r="R66" s="5">
        <v>131868</v>
      </c>
      <c r="S66" s="5">
        <v>131868</v>
      </c>
    </row>
    <row r="67" spans="1:19" x14ac:dyDescent="0.35">
      <c r="E67" s="5"/>
      <c r="F67" s="5"/>
      <c r="G67" s="5"/>
      <c r="H67" s="5">
        <v>-96081</v>
      </c>
      <c r="I67" s="5">
        <v>-96081</v>
      </c>
      <c r="J67" s="5">
        <v>-96081</v>
      </c>
      <c r="K67" s="5">
        <v>-96081</v>
      </c>
      <c r="L67" s="5">
        <v>-96081</v>
      </c>
      <c r="M67" s="5">
        <v>-96081</v>
      </c>
      <c r="N67" s="5">
        <v>-96081</v>
      </c>
      <c r="O67" s="5">
        <v>-96081</v>
      </c>
      <c r="P67" s="5">
        <v>-96081</v>
      </c>
      <c r="Q67" s="5">
        <v>-96081</v>
      </c>
      <c r="R67" s="5">
        <v>-96081</v>
      </c>
      <c r="S67" s="5">
        <v>-96081</v>
      </c>
    </row>
    <row r="68" spans="1:19" x14ac:dyDescent="0.35">
      <c r="E68" s="5">
        <f>+SUM(E63:E67)</f>
        <v>1045892</v>
      </c>
      <c r="F68" s="5">
        <f t="shared" ref="F68:S68" si="63">+SUM(F63:F67)</f>
        <v>1770785</v>
      </c>
      <c r="G68" s="5">
        <f t="shared" si="63"/>
        <v>2302362</v>
      </c>
      <c r="H68" s="5">
        <f t="shared" si="63"/>
        <v>3527762</v>
      </c>
      <c r="I68" s="5">
        <f t="shared" si="63"/>
        <v>3823675</v>
      </c>
      <c r="J68" s="5">
        <f t="shared" si="63"/>
        <v>4064147.4223549543</v>
      </c>
      <c r="K68" s="5">
        <f t="shared" si="63"/>
        <v>4309393.3830043692</v>
      </c>
      <c r="L68" s="5">
        <f t="shared" si="63"/>
        <v>4622516.8356562257</v>
      </c>
      <c r="M68" s="5">
        <f t="shared" si="63"/>
        <v>4991291.5292854682</v>
      </c>
      <c r="N68" s="5">
        <f t="shared" si="63"/>
        <v>5422627.3219391601</v>
      </c>
      <c r="O68" s="5">
        <f t="shared" si="63"/>
        <v>5907133.8333896007</v>
      </c>
      <c r="P68" s="5">
        <f t="shared" si="63"/>
        <v>6438815.7022539889</v>
      </c>
      <c r="Q68" s="5">
        <f t="shared" si="63"/>
        <v>7010050.9032920096</v>
      </c>
      <c r="R68" s="5">
        <f t="shared" si="63"/>
        <v>7612049.6823386839</v>
      </c>
      <c r="S68" s="5">
        <f t="shared" si="63"/>
        <v>8235467.7934126835</v>
      </c>
    </row>
    <row r="69" spans="1:19" x14ac:dyDescent="0.35">
      <c r="E69" s="5">
        <f>+E61+E68</f>
        <v>5415416</v>
      </c>
      <c r="F69" s="5">
        <f t="shared" ref="F69:S69" si="64">+F61+F68</f>
        <v>7804658</v>
      </c>
      <c r="G69" s="5">
        <f t="shared" si="64"/>
        <v>12580136</v>
      </c>
      <c r="H69" s="5">
        <f t="shared" si="64"/>
        <v>13827982</v>
      </c>
      <c r="I69" s="5">
        <f t="shared" si="64"/>
        <v>15384131</v>
      </c>
      <c r="J69" s="5">
        <f t="shared" si="64"/>
        <v>16389398.432294197</v>
      </c>
      <c r="K69" s="5">
        <f t="shared" si="64"/>
        <v>17062547.709283434</v>
      </c>
      <c r="L69" s="5">
        <f t="shared" si="64"/>
        <v>18135745.678872734</v>
      </c>
      <c r="M69" s="5">
        <f t="shared" si="64"/>
        <v>19269174.126699761</v>
      </c>
      <c r="N69" s="5">
        <f t="shared" si="64"/>
        <v>20526672.955379862</v>
      </c>
      <c r="O69" s="5">
        <f t="shared" si="64"/>
        <v>21772680.126968157</v>
      </c>
      <c r="P69" s="5">
        <f t="shared" si="64"/>
        <v>22967174.431986701</v>
      </c>
      <c r="Q69" s="5">
        <f t="shared" si="64"/>
        <v>24070027.460352503</v>
      </c>
      <c r="R69" s="5">
        <f t="shared" si="64"/>
        <v>25044271.096936356</v>
      </c>
      <c r="S69" s="5">
        <f t="shared" si="64"/>
        <v>25859300.268779375</v>
      </c>
    </row>
    <row r="72" spans="1:19" x14ac:dyDescent="0.35">
      <c r="A72" s="8" t="s">
        <v>88</v>
      </c>
    </row>
    <row r="73" spans="1:19" x14ac:dyDescent="0.35">
      <c r="A73" s="8" t="s">
        <v>82</v>
      </c>
    </row>
    <row r="74" spans="1:19" x14ac:dyDescent="0.35">
      <c r="A74" t="s">
        <v>83</v>
      </c>
      <c r="E74" s="14">
        <f>+E23/E68</f>
        <v>0.24097038699980494</v>
      </c>
      <c r="F74" s="14">
        <f>+F23/F68</f>
        <v>0.20315792148679823</v>
      </c>
      <c r="G74" s="14">
        <f>+G23/G68</f>
        <v>0.19309213755265245</v>
      </c>
      <c r="H74" s="14">
        <f>+H23/H68</f>
        <v>0.11447059070311433</v>
      </c>
      <c r="I74" s="14">
        <f>+I23/I68</f>
        <v>0.10239285504128881</v>
      </c>
      <c r="J74" s="13"/>
      <c r="K74" s="13"/>
      <c r="L74" s="13"/>
    </row>
    <row r="75" spans="1:19" x14ac:dyDescent="0.35">
      <c r="A75" t="s">
        <v>84</v>
      </c>
      <c r="E75" s="14">
        <f>+E50/E68</f>
        <v>5.1777965602566995</v>
      </c>
      <c r="F75" s="14">
        <f>+F50/F68</f>
        <v>4.4074452855654416</v>
      </c>
      <c r="G75" s="14">
        <f>+G50/G68</f>
        <v>5.4639921958406195</v>
      </c>
      <c r="H75" s="14">
        <f>+H50/H68</f>
        <v>3.9196187271136771</v>
      </c>
      <c r="I75" s="14">
        <f>+I50/I68</f>
        <v>4.0234026165926755</v>
      </c>
      <c r="J75" s="13"/>
      <c r="K75" s="13"/>
      <c r="L75" s="13"/>
    </row>
    <row r="76" spans="1:19" x14ac:dyDescent="0.35">
      <c r="A76" t="s">
        <v>85</v>
      </c>
      <c r="E76" s="14">
        <f>+E23/E50</f>
        <v>4.6539176307046404E-2</v>
      </c>
      <c r="F76" s="14">
        <f>+F23/F50</f>
        <v>4.6094258311532195E-2</v>
      </c>
      <c r="G76" s="14">
        <f>+G23/G50</f>
        <v>3.5339021475843412E-2</v>
      </c>
      <c r="H76" s="14">
        <f>+H23/H50</f>
        <v>2.9204521835573535E-2</v>
      </c>
      <c r="I76" s="14">
        <f>+I23/I50</f>
        <v>2.5449318598893513E-2</v>
      </c>
      <c r="J76" s="13"/>
      <c r="K76" s="13"/>
      <c r="L76" s="13"/>
    </row>
    <row r="77" spans="1:19" x14ac:dyDescent="0.35">
      <c r="A77" t="s">
        <v>86</v>
      </c>
      <c r="E77" s="14">
        <f>+E10/E50</f>
        <v>1.5858305253003648</v>
      </c>
      <c r="F77" s="14">
        <f>+F10/F50</f>
        <v>1.3395921758318579</v>
      </c>
      <c r="G77" s="14">
        <f>+G10/G50</f>
        <v>1.2562222935165477</v>
      </c>
      <c r="H77" s="14">
        <f>+H10/H50</f>
        <v>1.2362157477406226</v>
      </c>
      <c r="I77" s="14">
        <f>+I10/I50</f>
        <v>1.3521547844201551</v>
      </c>
      <c r="J77" s="13"/>
      <c r="K77" s="13"/>
      <c r="L77" s="13"/>
    </row>
    <row r="78" spans="1:19" x14ac:dyDescent="0.35">
      <c r="A78" t="s">
        <v>87</v>
      </c>
      <c r="E78" s="14">
        <f>+E23/E10</f>
        <v>2.9346878852790172E-2</v>
      </c>
      <c r="F78" s="14">
        <f>+F23/F10</f>
        <v>3.440917254007448E-2</v>
      </c>
      <c r="G78" s="14">
        <f>+G23/G10</f>
        <v>2.8131184789690969E-2</v>
      </c>
      <c r="H78" s="14">
        <f>+H23/H10</f>
        <v>2.362413024502346E-2</v>
      </c>
      <c r="I78" s="14">
        <f>+I23/I10</f>
        <v>1.882130573520616E-2</v>
      </c>
      <c r="J78" s="13"/>
      <c r="K78" s="13"/>
      <c r="L78" s="13"/>
    </row>
    <row r="79" spans="1:19" x14ac:dyDescent="0.35">
      <c r="E79" s="14"/>
      <c r="F79" s="14"/>
      <c r="G79" s="14"/>
      <c r="H79" s="14"/>
      <c r="I79" s="14"/>
    </row>
    <row r="80" spans="1:19" x14ac:dyDescent="0.35">
      <c r="A80" s="8" t="s">
        <v>89</v>
      </c>
      <c r="E80" s="14"/>
      <c r="F80" s="14"/>
      <c r="G80" s="14"/>
      <c r="H80" s="14"/>
      <c r="I80" s="14"/>
    </row>
    <row r="81" spans="1:19" x14ac:dyDescent="0.35">
      <c r="A81" t="s">
        <v>92</v>
      </c>
      <c r="E81" s="14">
        <f>+E10/(E50-E35-E48-E57-E60-E53-E54)</f>
        <v>2.6140177966467988</v>
      </c>
      <c r="F81" s="14">
        <f>+F10/(F50-F35-F48-F57-F60-F53-F54)</f>
        <v>2.0435003304186261</v>
      </c>
      <c r="G81" s="14">
        <f>+G10/(G50-G35-G48-G57-G60-G53-G54)</f>
        <v>2.0797164769573375</v>
      </c>
      <c r="H81" s="14">
        <f>+H10/(H50-H35-H48-H57-H60-H53-H54)</f>
        <v>1.8140597729410164</v>
      </c>
      <c r="I81" s="14">
        <f>+I10/(I50-I35-I48-I57-I60-I53-I54)</f>
        <v>1.9842214611822058</v>
      </c>
    </row>
    <row r="82" spans="1:19" x14ac:dyDescent="0.35">
      <c r="A82" t="s">
        <v>90</v>
      </c>
      <c r="E82" s="14">
        <f>+((E13+E14-E15-E16-E17+E19+E20)*(1-E22/E21))/E10</f>
        <v>5.6550383709437234E-2</v>
      </c>
      <c r="F82" s="14">
        <f>+((F13+F14-F15-F16-F17+F19+F20)*(1-F22/F21))/F10</f>
        <v>5.3036777636644987E-2</v>
      </c>
      <c r="G82" s="14">
        <f>+((G13+G14-G15-G16-G17+G19+G20)*(1-G22/G21))/G10</f>
        <v>4.7115827145738136E-2</v>
      </c>
      <c r="H82" s="14">
        <f>+((H13+H14-H15-H16-H17+H19+H20)*(1-H22/H21))/H10</f>
        <v>4.7228839406061152E-2</v>
      </c>
      <c r="I82" s="14">
        <f>+((I13+I14-I15-I16-I17+I19+I20)*(1-I22/I21))/I10</f>
        <v>3.8465040051177166E-2</v>
      </c>
    </row>
    <row r="83" spans="1:19" x14ac:dyDescent="0.35">
      <c r="A83" t="s">
        <v>91</v>
      </c>
      <c r="E83" s="14">
        <f>+E81*E82</f>
        <v>0.14782370942367415</v>
      </c>
      <c r="F83" s="14">
        <f t="shared" ref="F83:I83" si="65">+F81*F82</f>
        <v>0.10838067262482323</v>
      </c>
      <c r="G83" s="14">
        <f t="shared" si="65"/>
        <v>9.7987562040465409E-2</v>
      </c>
      <c r="H83" s="14">
        <f t="shared" si="65"/>
        <v>8.5675937689227016E-2</v>
      </c>
      <c r="I83" s="14">
        <f t="shared" si="65"/>
        <v>7.6323157974778816E-2</v>
      </c>
    </row>
    <row r="84" spans="1:19" x14ac:dyDescent="0.35">
      <c r="A84" t="s">
        <v>97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</row>
    <row r="85" spans="1:19" x14ac:dyDescent="0.35">
      <c r="A85" t="s">
        <v>98</v>
      </c>
      <c r="E85" s="14">
        <f>+E83*((E50-E35-E48-E57-E60)/(E50-E35-E48-E57-E60+E48))+E84*(E48)/(E50-E35-E48-E57-E60+E48)</f>
        <v>0.13401435212006935</v>
      </c>
      <c r="F85" s="14">
        <f>+F83*((F50-F35-F48-F57-F60)/(F50-F35-F48-F57-F60+F48))+F84*(F48)/(F50-F35-F48-F57-F60+F48)</f>
        <v>9.9938468522815488E-2</v>
      </c>
      <c r="G85" s="14">
        <f>+G83*((G50-G35-G48-G57-G60)/(G50-G35-G48-G57-G60+G48))+G84*(G48)/(G50-G35-G48-G57-G60+G48)</f>
        <v>9.3547041208236537E-2</v>
      </c>
      <c r="H85" s="14">
        <f>+H83*((H50-H35-H48-H57-H60)/(H50-H35-H48-H57-H60+H48))+H84*(H48)/(H50-H35-H48-H57-H60+H48)</f>
        <v>8.1912603040825024E-2</v>
      </c>
      <c r="I85" s="14">
        <f>+I83*((I50-I35-I48-I57-I60)/(I50-I35-I48-I57-I60+I48))+I84*(I48)/(I50-I35-I48-I57-I60+I48)</f>
        <v>7.2997962912280126E-2</v>
      </c>
    </row>
    <row r="86" spans="1:19" x14ac:dyDescent="0.35">
      <c r="A86" t="s">
        <v>94</v>
      </c>
      <c r="E86" s="14">
        <f>+(E85-((E18/(E55+E56+E59-E35))*(1-E22/E21)))</f>
        <v>4.5533728408739663E-2</v>
      </c>
      <c r="F86" s="14">
        <f>+(F85-((F18/(F55+F56+F59-F35))*(1-F22/F21)))</f>
        <v>4.9108717843372916E-2</v>
      </c>
      <c r="G86" s="14">
        <f>+(G85-((G18/(G55+G56+G59-G35))*(1-G22/G21)))</f>
        <v>4.0988408802676263E-2</v>
      </c>
      <c r="H86" s="14">
        <f>+(H85-((H18/(H55+H56+H59-H35))*(1-H22/H21)))</f>
        <v>1.865458789592056E-2</v>
      </c>
      <c r="I86" s="14">
        <f>+(I85-((I18/(I55+I56+I59-I35))*(1-I22/I21)))</f>
        <v>1.6382664414877242E-2</v>
      </c>
    </row>
    <row r="87" spans="1:19" x14ac:dyDescent="0.35">
      <c r="A87" t="s">
        <v>95</v>
      </c>
      <c r="E87" s="14">
        <f>+(-E35+E55+E56+E59)/(E63+E64+E65)</f>
        <v>2.5246288650527897</v>
      </c>
      <c r="F87" s="14">
        <f>+(-F35+F55+F56+F59)/(F63+F64+F65)</f>
        <v>2.1623106794911084</v>
      </c>
      <c r="G87" s="14">
        <f>+(-G35+G55+G56+G59)/(G63+G64+G65)</f>
        <v>2.5422955612107199</v>
      </c>
      <c r="H87" s="14">
        <f>+(-H35+H55+H56+H59)/(H63+H64+H65)</f>
        <v>1.8215564994169959</v>
      </c>
      <c r="I87" s="14">
        <f>+(-I35+I55+I56+I59)/(I63+I64+I65)</f>
        <v>1.9054343739836024</v>
      </c>
    </row>
    <row r="88" spans="1:19" x14ac:dyDescent="0.35">
      <c r="A88" t="s">
        <v>96</v>
      </c>
      <c r="E88" s="14">
        <f>+E86*E87</f>
        <v>0.11495576507417839</v>
      </c>
      <c r="F88" s="14">
        <f t="shared" ref="F88:I88" si="66">+F86*F87</f>
        <v>0.10618830504884082</v>
      </c>
      <c r="G88" s="14">
        <f t="shared" si="66"/>
        <v>0.10420464976013426</v>
      </c>
      <c r="H88" s="14">
        <f t="shared" si="66"/>
        <v>3.3980385825759719E-2</v>
      </c>
      <c r="I88" s="14">
        <f t="shared" si="66"/>
        <v>3.1216091913545057E-2</v>
      </c>
    </row>
    <row r="89" spans="1:19" x14ac:dyDescent="0.35">
      <c r="A89" t="s">
        <v>83</v>
      </c>
      <c r="E89" s="14">
        <f>+E83+E88</f>
        <v>0.26277947449785255</v>
      </c>
      <c r="F89" s="14">
        <f t="shared" ref="F89:I89" si="67">+F83+F88</f>
        <v>0.21456897767366406</v>
      </c>
      <c r="G89" s="14">
        <f t="shared" si="67"/>
        <v>0.20219221180059965</v>
      </c>
      <c r="H89" s="14">
        <f t="shared" si="67"/>
        <v>0.11965632351498673</v>
      </c>
      <c r="I89" s="14">
        <f t="shared" si="67"/>
        <v>0.10753924988832388</v>
      </c>
    </row>
    <row r="91" spans="1:19" x14ac:dyDescent="0.35">
      <c r="A91" s="8" t="s">
        <v>93</v>
      </c>
    </row>
    <row r="92" spans="1:19" x14ac:dyDescent="0.35">
      <c r="J92" s="4" t="s">
        <v>51</v>
      </c>
      <c r="K92" s="4" t="s">
        <v>52</v>
      </c>
      <c r="L92" s="4" t="s">
        <v>53</v>
      </c>
      <c r="M92" s="4" t="s">
        <v>128</v>
      </c>
      <c r="N92" s="4" t="s">
        <v>129</v>
      </c>
      <c r="O92" s="4" t="s">
        <v>130</v>
      </c>
      <c r="P92" s="4" t="s">
        <v>131</v>
      </c>
      <c r="Q92" s="4" t="s">
        <v>132</v>
      </c>
      <c r="R92" s="4" t="s">
        <v>133</v>
      </c>
      <c r="S92" s="4" t="s">
        <v>134</v>
      </c>
    </row>
    <row r="93" spans="1:19" x14ac:dyDescent="0.35">
      <c r="A93" s="8" t="s">
        <v>103</v>
      </c>
    </row>
    <row r="94" spans="1:19" x14ac:dyDescent="0.35">
      <c r="A94" t="s">
        <v>99</v>
      </c>
      <c r="J94">
        <v>0.16500000000000001</v>
      </c>
      <c r="K94">
        <v>4.7E-2</v>
      </c>
      <c r="L94">
        <v>0.09</v>
      </c>
      <c r="M94">
        <v>0.1</v>
      </c>
      <c r="N94">
        <v>0.1</v>
      </c>
      <c r="O94">
        <v>8.5999999999999993E-2</v>
      </c>
      <c r="P94">
        <v>7.1999999999999995E-2</v>
      </c>
      <c r="Q94">
        <v>5.8000000000000003E-2</v>
      </c>
      <c r="R94">
        <v>4.3999999999999997E-2</v>
      </c>
      <c r="S94">
        <v>0.03</v>
      </c>
    </row>
    <row r="95" spans="1:19" x14ac:dyDescent="0.35">
      <c r="A95" t="s">
        <v>100</v>
      </c>
      <c r="J95">
        <v>-1.0999999999999999E-2</v>
      </c>
      <c r="K95">
        <v>2.5999999999999999E-2</v>
      </c>
      <c r="L95">
        <v>6.5000000000000002E-2</v>
      </c>
      <c r="M95">
        <v>2.4E-2</v>
      </c>
      <c r="N95">
        <v>2.4E-2</v>
      </c>
      <c r="O95">
        <v>2.5000000000000001E-2</v>
      </c>
      <c r="P95">
        <v>2.5999999999999999E-2</v>
      </c>
      <c r="Q95">
        <v>2.8000000000000001E-2</v>
      </c>
      <c r="R95">
        <v>2.9000000000000001E-2</v>
      </c>
      <c r="S95">
        <v>0.03</v>
      </c>
    </row>
    <row r="96" spans="1:19" x14ac:dyDescent="0.35">
      <c r="A96" t="s">
        <v>101</v>
      </c>
      <c r="J96">
        <v>0.16800000000000001</v>
      </c>
      <c r="K96">
        <v>6.8000000000000005E-2</v>
      </c>
      <c r="L96">
        <v>0.129</v>
      </c>
      <c r="M96">
        <v>0.121</v>
      </c>
      <c r="N96">
        <v>0.121</v>
      </c>
      <c r="O96">
        <v>0.10299999999999999</v>
      </c>
      <c r="P96">
        <v>8.5000000000000006E-2</v>
      </c>
      <c r="Q96">
        <v>6.6000000000000003E-2</v>
      </c>
      <c r="R96">
        <v>4.8000000000000001E-2</v>
      </c>
      <c r="S96">
        <v>0.03</v>
      </c>
    </row>
    <row r="97" spans="1:19" x14ac:dyDescent="0.35">
      <c r="A97" t="s">
        <v>32</v>
      </c>
      <c r="J97">
        <v>0.121</v>
      </c>
      <c r="K97">
        <v>0.03</v>
      </c>
      <c r="L97">
        <v>0.06</v>
      </c>
      <c r="M97">
        <v>6.7000000000000004E-2</v>
      </c>
      <c r="N97">
        <v>6.7000000000000004E-2</v>
      </c>
      <c r="O97">
        <v>0.06</v>
      </c>
      <c r="P97">
        <v>5.1999999999999998E-2</v>
      </c>
      <c r="Q97">
        <v>4.4999999999999998E-2</v>
      </c>
      <c r="R97">
        <v>3.6999999999999998E-2</v>
      </c>
      <c r="S97">
        <v>0.03</v>
      </c>
    </row>
    <row r="98" spans="1:19" x14ac:dyDescent="0.35">
      <c r="A98" t="s">
        <v>102</v>
      </c>
      <c r="J98">
        <v>0.03</v>
      </c>
      <c r="K98">
        <v>0.03</v>
      </c>
      <c r="L98">
        <v>0.03</v>
      </c>
      <c r="M98">
        <v>0.03</v>
      </c>
      <c r="N98">
        <v>0.03</v>
      </c>
      <c r="O98">
        <v>0.03</v>
      </c>
      <c r="P98">
        <v>0.03</v>
      </c>
      <c r="Q98">
        <v>0.03</v>
      </c>
      <c r="R98">
        <v>0.03</v>
      </c>
      <c r="S98">
        <v>0.03</v>
      </c>
    </row>
    <row r="100" spans="1:19" x14ac:dyDescent="0.35">
      <c r="A100" s="8" t="s">
        <v>104</v>
      </c>
    </row>
    <row r="101" spans="1:19" x14ac:dyDescent="0.35">
      <c r="A101" t="s">
        <v>107</v>
      </c>
      <c r="J101">
        <v>41.636000000000003</v>
      </c>
      <c r="K101">
        <v>41.636000000000003</v>
      </c>
      <c r="L101">
        <v>41.636000000000003</v>
      </c>
      <c r="M101">
        <v>41.636000000000003</v>
      </c>
      <c r="N101">
        <v>41.636000000000003</v>
      </c>
      <c r="O101">
        <v>41.636000000000003</v>
      </c>
      <c r="P101">
        <v>41.636000000000003</v>
      </c>
      <c r="Q101">
        <v>41.636000000000003</v>
      </c>
      <c r="R101">
        <v>41.636000000000003</v>
      </c>
      <c r="S101">
        <v>41.636000000000003</v>
      </c>
    </row>
    <row r="102" spans="1:19" x14ac:dyDescent="0.35">
      <c r="A102" t="s">
        <v>106</v>
      </c>
      <c r="J102">
        <v>4.1829999999999998</v>
      </c>
      <c r="K102">
        <v>4.1829999999999998</v>
      </c>
      <c r="L102">
        <v>4.1829999999999998</v>
      </c>
      <c r="M102">
        <v>4.1829999999999998</v>
      </c>
      <c r="N102">
        <v>4.1829999999999998</v>
      </c>
      <c r="O102">
        <v>4.1829999999999998</v>
      </c>
      <c r="P102">
        <v>4.1829999999999998</v>
      </c>
      <c r="Q102">
        <v>4.1829999999999998</v>
      </c>
      <c r="R102">
        <v>4.1829999999999998</v>
      </c>
      <c r="S102">
        <v>4.1829999999999998</v>
      </c>
    </row>
    <row r="103" spans="1:19" x14ac:dyDescent="0.35">
      <c r="A103" t="s">
        <v>109</v>
      </c>
      <c r="J103">
        <v>101.72199999999999</v>
      </c>
      <c r="K103">
        <v>101.72199999999999</v>
      </c>
      <c r="L103">
        <v>101.72199999999999</v>
      </c>
      <c r="M103">
        <v>101.72199999999999</v>
      </c>
      <c r="N103">
        <v>101.72199999999999</v>
      </c>
      <c r="O103">
        <v>101.72199999999999</v>
      </c>
      <c r="P103">
        <v>101.72199999999999</v>
      </c>
      <c r="Q103">
        <v>101.72199999999999</v>
      </c>
      <c r="R103">
        <v>101.72199999999999</v>
      </c>
      <c r="S103">
        <v>101.72199999999999</v>
      </c>
    </row>
    <row r="104" spans="1:19" x14ac:dyDescent="0.35">
      <c r="A104" t="s">
        <v>110</v>
      </c>
      <c r="J104">
        <v>1.171E-2</v>
      </c>
      <c r="K104">
        <v>1.171E-2</v>
      </c>
      <c r="L104">
        <v>1.171E-2</v>
      </c>
      <c r="M104">
        <v>1.171E-2</v>
      </c>
      <c r="N104">
        <v>1.171E-2</v>
      </c>
      <c r="O104">
        <v>1.171E-2</v>
      </c>
      <c r="P104">
        <v>1.171E-2</v>
      </c>
      <c r="Q104">
        <v>1.171E-2</v>
      </c>
      <c r="R104">
        <v>1.171E-2</v>
      </c>
      <c r="S104">
        <v>1.171E-2</v>
      </c>
    </row>
    <row r="105" spans="1:19" x14ac:dyDescent="0.35">
      <c r="A105" t="s">
        <v>111</v>
      </c>
      <c r="J105">
        <v>3.0620000000000001E-2</v>
      </c>
      <c r="K105">
        <v>3.0620000000000001E-2</v>
      </c>
      <c r="L105">
        <v>3.0620000000000001E-2</v>
      </c>
      <c r="M105">
        <v>3.0620000000000001E-2</v>
      </c>
      <c r="N105">
        <v>3.0620000000000001E-2</v>
      </c>
      <c r="O105">
        <v>3.0620000000000001E-2</v>
      </c>
      <c r="P105">
        <v>3.0620000000000001E-2</v>
      </c>
      <c r="Q105">
        <v>3.0620000000000001E-2</v>
      </c>
      <c r="R105">
        <v>3.0620000000000001E-2</v>
      </c>
      <c r="S105">
        <v>3.0620000000000001E-2</v>
      </c>
    </row>
    <row r="106" spans="1:19" x14ac:dyDescent="0.35">
      <c r="A106" t="s">
        <v>112</v>
      </c>
      <c r="J106">
        <v>25.431999999999999</v>
      </c>
      <c r="K106">
        <v>25.431999999999999</v>
      </c>
      <c r="L106">
        <v>25.431999999999999</v>
      </c>
      <c r="M106">
        <v>25.431999999999999</v>
      </c>
      <c r="N106">
        <v>25.431999999999999</v>
      </c>
      <c r="O106">
        <v>25.431999999999999</v>
      </c>
      <c r="P106">
        <v>25.431999999999999</v>
      </c>
      <c r="Q106">
        <v>25.431999999999999</v>
      </c>
      <c r="R106">
        <v>25.431999999999999</v>
      </c>
      <c r="S106">
        <v>25.431999999999999</v>
      </c>
    </row>
    <row r="107" spans="1:19" x14ac:dyDescent="0.35">
      <c r="A107" t="s">
        <v>113</v>
      </c>
      <c r="J107">
        <v>2.7459999999999998E-2</v>
      </c>
      <c r="K107">
        <v>2.7459999999999998E-2</v>
      </c>
      <c r="L107">
        <v>2.7459999999999998E-2</v>
      </c>
      <c r="M107">
        <v>2.7459999999999998E-2</v>
      </c>
      <c r="N107">
        <v>2.7459999999999998E-2</v>
      </c>
      <c r="O107">
        <v>2.7459999999999998E-2</v>
      </c>
      <c r="P107">
        <v>2.7459999999999998E-2</v>
      </c>
      <c r="Q107">
        <v>2.7459999999999998E-2</v>
      </c>
      <c r="R107">
        <v>2.7459999999999998E-2</v>
      </c>
      <c r="S107">
        <v>2.7459999999999998E-2</v>
      </c>
    </row>
    <row r="108" spans="1:19" x14ac:dyDescent="0.35">
      <c r="A108" t="s">
        <v>114</v>
      </c>
      <c r="J108">
        <v>3.422E-2</v>
      </c>
      <c r="K108">
        <v>3.422E-2</v>
      </c>
      <c r="L108">
        <v>3.422E-2</v>
      </c>
      <c r="M108">
        <v>3.422E-2</v>
      </c>
      <c r="N108">
        <v>3.422E-2</v>
      </c>
      <c r="O108">
        <v>3.422E-2</v>
      </c>
      <c r="P108">
        <v>3.422E-2</v>
      </c>
      <c r="Q108">
        <v>3.422E-2</v>
      </c>
      <c r="R108">
        <v>3.422E-2</v>
      </c>
      <c r="S108">
        <v>3.422E-2</v>
      </c>
    </row>
    <row r="109" spans="1:19" x14ac:dyDescent="0.35">
      <c r="A109" t="s">
        <v>118</v>
      </c>
      <c r="J109">
        <v>0.81684000000000001</v>
      </c>
      <c r="K109">
        <v>0.81684000000000001</v>
      </c>
      <c r="L109">
        <v>0.81684000000000001</v>
      </c>
      <c r="M109">
        <v>0.81684000000000001</v>
      </c>
      <c r="N109">
        <v>0.81684000000000001</v>
      </c>
      <c r="O109">
        <v>0.81684000000000001</v>
      </c>
      <c r="P109">
        <v>0.81684000000000001</v>
      </c>
      <c r="Q109">
        <v>0.81684000000000001</v>
      </c>
      <c r="R109">
        <v>0.81684000000000001</v>
      </c>
      <c r="S109">
        <v>0.81684000000000001</v>
      </c>
    </row>
    <row r="110" spans="1:19" x14ac:dyDescent="0.35">
      <c r="A110" t="s">
        <v>119</v>
      </c>
      <c r="J110">
        <v>2.2799999999999999E-3</v>
      </c>
      <c r="K110">
        <v>2.2799999999999999E-3</v>
      </c>
      <c r="L110">
        <v>2.2799999999999999E-3</v>
      </c>
      <c r="M110">
        <v>2.2799999999999999E-3</v>
      </c>
      <c r="N110">
        <v>2.2799999999999999E-3</v>
      </c>
      <c r="O110">
        <v>2.2799999999999999E-3</v>
      </c>
      <c r="P110">
        <v>2.2799999999999999E-3</v>
      </c>
      <c r="Q110">
        <v>2.2799999999999999E-3</v>
      </c>
      <c r="R110">
        <v>2.2799999999999999E-3</v>
      </c>
      <c r="S110">
        <v>2.2799999999999999E-3</v>
      </c>
    </row>
    <row r="111" spans="1:19" x14ac:dyDescent="0.35">
      <c r="A111" t="s">
        <v>120</v>
      </c>
      <c r="J111">
        <v>0.12887000000000001</v>
      </c>
      <c r="K111">
        <v>0.12887000000000001</v>
      </c>
      <c r="L111">
        <v>0.12887000000000001</v>
      </c>
      <c r="M111">
        <v>0.12887000000000001</v>
      </c>
      <c r="N111">
        <v>0.12887000000000001</v>
      </c>
      <c r="O111">
        <v>0.12887000000000001</v>
      </c>
      <c r="P111">
        <v>0.12887000000000001</v>
      </c>
      <c r="Q111">
        <v>0.12887000000000001</v>
      </c>
      <c r="R111">
        <v>0.12887000000000001</v>
      </c>
      <c r="S111">
        <v>0.12887000000000001</v>
      </c>
    </row>
    <row r="112" spans="1:19" x14ac:dyDescent="0.35">
      <c r="A112" t="s">
        <v>122</v>
      </c>
      <c r="J112">
        <v>7.85E-2</v>
      </c>
      <c r="K112">
        <v>7.85E-2</v>
      </c>
      <c r="L112">
        <v>7.85E-2</v>
      </c>
      <c r="M112">
        <v>7.85E-2</v>
      </c>
      <c r="N112">
        <v>7.85E-2</v>
      </c>
      <c r="O112">
        <v>7.85E-2</v>
      </c>
      <c r="P112">
        <v>7.85E-2</v>
      </c>
      <c r="Q112">
        <v>7.85E-2</v>
      </c>
      <c r="R112">
        <v>7.85E-2</v>
      </c>
      <c r="S112">
        <v>7.85E-2</v>
      </c>
    </row>
    <row r="113" spans="1:20" x14ac:dyDescent="0.35">
      <c r="A113" t="s">
        <v>121</v>
      </c>
      <c r="J113">
        <v>5.5969999999999999E-2</v>
      </c>
      <c r="K113">
        <v>5.5969999999999999E-2</v>
      </c>
      <c r="L113">
        <v>5.5969999999999999E-2</v>
      </c>
      <c r="M113">
        <v>5.5969999999999999E-2</v>
      </c>
      <c r="N113">
        <v>5.5969999999999999E-2</v>
      </c>
      <c r="O113">
        <v>5.5969999999999999E-2</v>
      </c>
      <c r="P113">
        <v>5.5969999999999999E-2</v>
      </c>
      <c r="Q113">
        <v>5.5969999999999999E-2</v>
      </c>
      <c r="R113">
        <v>5.5969999999999999E-2</v>
      </c>
      <c r="S113">
        <v>5.5969999999999999E-2</v>
      </c>
    </row>
    <row r="114" spans="1:20" x14ac:dyDescent="0.35">
      <c r="A114" t="s">
        <v>123</v>
      </c>
      <c r="J114">
        <v>400000</v>
      </c>
      <c r="K114">
        <v>550000</v>
      </c>
      <c r="L114">
        <v>500000</v>
      </c>
      <c r="M114">
        <v>0.02</v>
      </c>
      <c r="N114">
        <v>0.02</v>
      </c>
      <c r="O114">
        <v>0.02</v>
      </c>
      <c r="P114">
        <v>0.02</v>
      </c>
      <c r="Q114">
        <v>0.02</v>
      </c>
      <c r="R114">
        <v>0.02</v>
      </c>
      <c r="S114">
        <v>0.02</v>
      </c>
    </row>
    <row r="115" spans="1:20" x14ac:dyDescent="0.35">
      <c r="A115" t="s">
        <v>125</v>
      </c>
      <c r="J115">
        <f>1-J116</f>
        <v>0.94044799999999995</v>
      </c>
      <c r="K115">
        <f t="shared" ref="K115:S115" si="68">1-K116</f>
        <v>0.94044799999999995</v>
      </c>
      <c r="L115">
        <f t="shared" si="68"/>
        <v>0.94044799999999995</v>
      </c>
      <c r="M115">
        <f t="shared" si="68"/>
        <v>0.94044799999999995</v>
      </c>
      <c r="N115">
        <f t="shared" si="68"/>
        <v>0.94044799999999995</v>
      </c>
      <c r="O115">
        <f t="shared" si="68"/>
        <v>0.94044799999999995</v>
      </c>
      <c r="P115">
        <f t="shared" si="68"/>
        <v>0.94044799999999995</v>
      </c>
      <c r="Q115">
        <f t="shared" si="68"/>
        <v>0.94044799999999995</v>
      </c>
      <c r="R115">
        <f t="shared" si="68"/>
        <v>0.94044799999999995</v>
      </c>
      <c r="S115">
        <f t="shared" si="68"/>
        <v>0.94044799999999995</v>
      </c>
    </row>
    <row r="116" spans="1:20" x14ac:dyDescent="0.35">
      <c r="A116" t="s">
        <v>126</v>
      </c>
      <c r="J116">
        <v>5.9552000000000001E-2</v>
      </c>
      <c r="K116">
        <v>5.9552000000000001E-2</v>
      </c>
      <c r="L116">
        <v>5.9552000000000001E-2</v>
      </c>
      <c r="M116">
        <v>5.9552000000000001E-2</v>
      </c>
      <c r="N116">
        <v>5.9552000000000001E-2</v>
      </c>
      <c r="O116">
        <v>5.9552000000000001E-2</v>
      </c>
      <c r="P116">
        <v>5.9552000000000001E-2</v>
      </c>
      <c r="Q116">
        <v>5.9552000000000001E-2</v>
      </c>
      <c r="R116">
        <v>5.9552000000000001E-2</v>
      </c>
      <c r="S116">
        <v>5.9552000000000001E-2</v>
      </c>
    </row>
    <row r="117" spans="1:20" x14ac:dyDescent="0.35">
      <c r="A117" t="s">
        <v>124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</row>
    <row r="118" spans="1:20" x14ac:dyDescent="0.35">
      <c r="A118" t="s">
        <v>127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</row>
    <row r="119" spans="1:20" x14ac:dyDescent="0.35">
      <c r="A119" t="s">
        <v>135</v>
      </c>
      <c r="J119">
        <v>0.17</v>
      </c>
      <c r="K119">
        <v>0.17</v>
      </c>
      <c r="L119">
        <v>0.17</v>
      </c>
      <c r="M119">
        <v>0.17</v>
      </c>
      <c r="N119">
        <v>0.17</v>
      </c>
      <c r="O119">
        <v>0.17</v>
      </c>
      <c r="P119">
        <v>0.17</v>
      </c>
      <c r="Q119">
        <v>0.17</v>
      </c>
      <c r="R119">
        <v>0.17</v>
      </c>
      <c r="S119">
        <v>0.17</v>
      </c>
    </row>
    <row r="120" spans="1:20" x14ac:dyDescent="0.35">
      <c r="A120" t="s">
        <v>136</v>
      </c>
      <c r="F120" s="15">
        <f>+F18/(E55+E56+E59-E35)</f>
        <v>8.6152600409108868E-2</v>
      </c>
      <c r="G120" s="15">
        <f>+G18/(F55+F56+F59-F35)</f>
        <v>8.9876420509043417E-2</v>
      </c>
      <c r="H120" s="15">
        <f>+H18/(G55+G56+G59-G35)</f>
        <v>7.6651233646028785E-2</v>
      </c>
      <c r="I120" s="15">
        <f>+I18/(H55+H56+H59-H35)</f>
        <v>8.1265301335982226E-2</v>
      </c>
      <c r="J120">
        <v>0.1</v>
      </c>
      <c r="K120">
        <v>0.1</v>
      </c>
      <c r="L120">
        <v>0.1</v>
      </c>
      <c r="M120">
        <v>0.1</v>
      </c>
      <c r="N120">
        <v>0.1</v>
      </c>
      <c r="O120">
        <v>0.1</v>
      </c>
      <c r="P120">
        <v>0.1</v>
      </c>
      <c r="Q120">
        <v>0.1</v>
      </c>
      <c r="R120">
        <v>0.1</v>
      </c>
      <c r="S120">
        <v>0.1</v>
      </c>
    </row>
    <row r="121" spans="1:20" x14ac:dyDescent="0.35">
      <c r="A121" t="s">
        <v>137</v>
      </c>
    </row>
    <row r="122" spans="1:20" x14ac:dyDescent="0.35">
      <c r="A122" t="s">
        <v>138</v>
      </c>
      <c r="E122" s="12">
        <f>+E60/(E44+E45+E46+E47)</f>
        <v>9.4953749125095799E-2</v>
      </c>
      <c r="F122" s="12">
        <f>+F60/(F44+F45+F46+F47)</f>
        <v>8.9286178361915144E-2</v>
      </c>
      <c r="G122" s="12">
        <f>+G60/(G44+G45+G46+G47)</f>
        <v>7.0467255023310485E-2</v>
      </c>
      <c r="H122" s="12">
        <f>+H60/(H44+H45+H46+H47)</f>
        <v>4.9602925604173911E-2</v>
      </c>
      <c r="I122" s="12">
        <f>+I60/(I44+I45+I46+I47)</f>
        <v>4.9198402053254132E-2</v>
      </c>
      <c r="J122">
        <v>0.05</v>
      </c>
      <c r="K122">
        <v>0.05</v>
      </c>
      <c r="L122">
        <v>0.05</v>
      </c>
      <c r="M122">
        <v>0.05</v>
      </c>
      <c r="N122">
        <v>0.05</v>
      </c>
      <c r="O122">
        <v>0.05</v>
      </c>
      <c r="P122">
        <v>0.05</v>
      </c>
      <c r="Q122">
        <v>0.05</v>
      </c>
      <c r="R122">
        <v>0.05</v>
      </c>
      <c r="S122">
        <v>0.05</v>
      </c>
    </row>
    <row r="123" spans="1:20" x14ac:dyDescent="0.35">
      <c r="A123" t="s">
        <v>22</v>
      </c>
      <c r="H123" s="5">
        <v>2442409869</v>
      </c>
    </row>
    <row r="124" spans="1:20" x14ac:dyDescent="0.35">
      <c r="H124" s="5"/>
    </row>
    <row r="126" spans="1:20" x14ac:dyDescent="0.35">
      <c r="A126" s="8" t="s">
        <v>150</v>
      </c>
      <c r="T126" t="s">
        <v>183</v>
      </c>
    </row>
    <row r="127" spans="1:20" x14ac:dyDescent="0.35">
      <c r="J127" s="4">
        <v>2014</v>
      </c>
      <c r="K127" s="4">
        <f>+J127+1</f>
        <v>2015</v>
      </c>
      <c r="L127" s="4">
        <f t="shared" ref="L127:S127" si="69">+K127+1</f>
        <v>2016</v>
      </c>
      <c r="M127" s="4">
        <f t="shared" si="69"/>
        <v>2017</v>
      </c>
      <c r="N127" s="4">
        <f t="shared" si="69"/>
        <v>2018</v>
      </c>
      <c r="O127" s="4">
        <f t="shared" si="69"/>
        <v>2019</v>
      </c>
      <c r="P127" s="4">
        <f t="shared" si="69"/>
        <v>2020</v>
      </c>
      <c r="Q127" s="4">
        <f t="shared" si="69"/>
        <v>2021</v>
      </c>
      <c r="R127" s="4">
        <f t="shared" si="69"/>
        <v>2022</v>
      </c>
      <c r="S127" s="4">
        <f t="shared" si="69"/>
        <v>2023</v>
      </c>
      <c r="T127" t="s">
        <v>184</v>
      </c>
    </row>
    <row r="128" spans="1:20" x14ac:dyDescent="0.35">
      <c r="A128" t="s">
        <v>54</v>
      </c>
      <c r="J128" s="11">
        <f>+J$25</f>
        <v>1308267.65801621</v>
      </c>
      <c r="K128" s="11">
        <f t="shared" ref="K128:S128" si="70">+K$25</f>
        <v>1369312.2006923915</v>
      </c>
      <c r="L128" s="11">
        <f t="shared" si="70"/>
        <v>1497210.5664118933</v>
      </c>
      <c r="M128" s="11">
        <f t="shared" si="70"/>
        <v>1624830.2352829115</v>
      </c>
      <c r="N128" s="11">
        <f t="shared" si="70"/>
        <v>1765482.3668677048</v>
      </c>
      <c r="O128" s="11">
        <f t="shared" si="70"/>
        <v>1900399.8523466066</v>
      </c>
      <c r="P128" s="11">
        <f t="shared" si="70"/>
        <v>2024681.5054964134</v>
      </c>
      <c r="Q128" s="11">
        <f t="shared" si="70"/>
        <v>2133588.559160064</v>
      </c>
      <c r="R128" s="11">
        <f t="shared" si="70"/>
        <v>2222969.4794328511</v>
      </c>
      <c r="S128" s="11">
        <f t="shared" si="70"/>
        <v>2289658.5638158349</v>
      </c>
    </row>
    <row r="129" spans="1:20" x14ac:dyDescent="0.35">
      <c r="A129" t="s">
        <v>153</v>
      </c>
      <c r="J129" s="11">
        <f>-J$29</f>
        <v>-171952.11171125574</v>
      </c>
      <c r="K129" s="11">
        <f t="shared" ref="K129:S129" si="71">-K$29</f>
        <v>-181164.05338964472</v>
      </c>
      <c r="L129" s="11">
        <f t="shared" si="71"/>
        <v>-199956.04419399949</v>
      </c>
      <c r="M129" s="11">
        <f t="shared" si="71"/>
        <v>-219565.40946143656</v>
      </c>
      <c r="N129" s="11">
        <f t="shared" si="71"/>
        <v>-240624.97429898288</v>
      </c>
      <c r="O129" s="11">
        <f t="shared" si="71"/>
        <v>-260314.38805418159</v>
      </c>
      <c r="P129" s="11">
        <f t="shared" si="71"/>
        <v>-277856.64249896328</v>
      </c>
      <c r="Q129" s="11">
        <f t="shared" si="71"/>
        <v>-292519.69206617167</v>
      </c>
      <c r="R129" s="11">
        <f t="shared" si="71"/>
        <v>-303686.58863244858</v>
      </c>
      <c r="S129" s="11">
        <f t="shared" si="71"/>
        <v>-310919.43825523974</v>
      </c>
    </row>
    <row r="130" spans="1:20" x14ac:dyDescent="0.35">
      <c r="A130" t="s">
        <v>182</v>
      </c>
      <c r="J130" s="11">
        <f>+J128+J129</f>
        <v>1136315.5463049542</v>
      </c>
      <c r="K130" s="11">
        <f t="shared" ref="K130:S130" si="72">+K128+K129</f>
        <v>1188148.1473027468</v>
      </c>
      <c r="L130" s="11">
        <f t="shared" si="72"/>
        <v>1297254.522217894</v>
      </c>
      <c r="M130" s="11">
        <f t="shared" si="72"/>
        <v>1405264.8258214749</v>
      </c>
      <c r="N130" s="11">
        <f t="shared" si="72"/>
        <v>1524857.3925687219</v>
      </c>
      <c r="O130" s="11">
        <f t="shared" si="72"/>
        <v>1640085.464292425</v>
      </c>
      <c r="P130" s="11">
        <f t="shared" si="72"/>
        <v>1746824.8629974502</v>
      </c>
      <c r="Q130" s="11">
        <f t="shared" si="72"/>
        <v>1841068.8670938923</v>
      </c>
      <c r="R130" s="11">
        <f t="shared" si="72"/>
        <v>1919282.8908004025</v>
      </c>
      <c r="S130" s="11">
        <f t="shared" si="72"/>
        <v>1978739.1255605952</v>
      </c>
    </row>
    <row r="131" spans="1:20" x14ac:dyDescent="0.35">
      <c r="A131" t="s">
        <v>154</v>
      </c>
      <c r="J131" s="11">
        <f>-J$114</f>
        <v>-400000</v>
      </c>
      <c r="K131" s="11">
        <f t="shared" ref="K131:L131" si="73">-K$114</f>
        <v>-550000</v>
      </c>
      <c r="L131" s="11">
        <f t="shared" si="73"/>
        <v>-500000</v>
      </c>
      <c r="M131" s="11">
        <f>-M$114*M10</f>
        <v>-574449.4379646146</v>
      </c>
      <c r="N131" s="11">
        <f t="shared" ref="N131:S131" si="74">-N$114*N10</f>
        <v>-624176.19475612685</v>
      </c>
      <c r="O131" s="11">
        <f t="shared" si="74"/>
        <v>-671875.50021092675</v>
      </c>
      <c r="P131" s="11">
        <f t="shared" si="74"/>
        <v>-715814.56796762114</v>
      </c>
      <c r="Q131" s="11">
        <f t="shared" si="74"/>
        <v>-754318.03399684152</v>
      </c>
      <c r="R131" s="11">
        <f t="shared" si="74"/>
        <v>-785918.14722745342</v>
      </c>
      <c r="S131" s="11">
        <f t="shared" si="74"/>
        <v>-809495.69164427696</v>
      </c>
    </row>
    <row r="132" spans="1:20" x14ac:dyDescent="0.35">
      <c r="A132" t="s">
        <v>181</v>
      </c>
      <c r="J132" s="11">
        <f>+(-J36-J37-J38-J39-J40+I36+I37+I38+I39+I40+J53-I53+J54-I54+J57-I57)</f>
        <v>-630655.90059382003</v>
      </c>
      <c r="K132" s="11">
        <f t="shared" ref="K132:S132" si="75">+(-K36-K37-K38-K39-K40+J36+J37+J38+J39+J40+K53-J53+K54-J54+K57-J57)</f>
        <v>-298815.30945217528</v>
      </c>
      <c r="L132" s="11">
        <f t="shared" si="75"/>
        <v>-626067.26261561282</v>
      </c>
      <c r="M132" s="11">
        <f t="shared" si="75"/>
        <v>-624703.03116474079</v>
      </c>
      <c r="N132" s="11">
        <f t="shared" si="75"/>
        <v>-688497.42142494989</v>
      </c>
      <c r="O132" s="11">
        <f t="shared" si="75"/>
        <v>-660426.11520155182</v>
      </c>
      <c r="P132" s="11">
        <f t="shared" si="75"/>
        <v>-608363.31991520501</v>
      </c>
      <c r="Q132" s="11">
        <f t="shared" si="75"/>
        <v>-533104.08294245275</v>
      </c>
      <c r="R132" s="11">
        <f t="shared" si="75"/>
        <v>-437522.93291981448</v>
      </c>
      <c r="S132" s="11">
        <f t="shared" si="75"/>
        <v>-326445.55128690694</v>
      </c>
    </row>
    <row r="133" spans="1:20" x14ac:dyDescent="0.35">
      <c r="A133" t="s">
        <v>155</v>
      </c>
      <c r="J133" s="11">
        <f>+J128+J129+J131+J132</f>
        <v>105659.64571113419</v>
      </c>
      <c r="K133" s="11">
        <f t="shared" ref="K133:S133" si="76">+K128+K129+K131+K132</f>
        <v>339332.83785057149</v>
      </c>
      <c r="L133" s="11">
        <f t="shared" si="76"/>
        <v>171187.25960228115</v>
      </c>
      <c r="M133" s="11">
        <f t="shared" si="76"/>
        <v>206112.3566921195</v>
      </c>
      <c r="N133" s="11">
        <f t="shared" si="76"/>
        <v>212183.77638764516</v>
      </c>
      <c r="O133" s="11">
        <f t="shared" si="76"/>
        <v>307783.8488799464</v>
      </c>
      <c r="P133" s="11">
        <f t="shared" si="76"/>
        <v>422646.97511462402</v>
      </c>
      <c r="Q133" s="11">
        <f t="shared" si="76"/>
        <v>553646.75015459815</v>
      </c>
      <c r="R133" s="11">
        <f t="shared" si="76"/>
        <v>695841.81065313448</v>
      </c>
      <c r="S133" s="11">
        <f t="shared" si="76"/>
        <v>842797.8826294113</v>
      </c>
    </row>
    <row r="135" spans="1:20" x14ac:dyDescent="0.35">
      <c r="A135" t="s">
        <v>156</v>
      </c>
      <c r="J135" s="16">
        <f>+Capital!C46</f>
        <v>7.2369949421589461E-2</v>
      </c>
    </row>
    <row r="137" spans="1:20" x14ac:dyDescent="0.35">
      <c r="A137" t="s">
        <v>157</v>
      </c>
      <c r="J137" s="5">
        <f>+J133/(1+$J$135)^(J127-2013)</f>
        <v>98529.09974596402</v>
      </c>
      <c r="K137" s="5">
        <f t="shared" ref="K137:R137" si="77">+K133/(1+$J$135)^(K127-2013)</f>
        <v>295077.85533270036</v>
      </c>
      <c r="L137" s="5">
        <f t="shared" si="77"/>
        <v>138815.36310840456</v>
      </c>
      <c r="M137" s="5">
        <f t="shared" si="77"/>
        <v>155856.70387234277</v>
      </c>
      <c r="N137" s="5">
        <f t="shared" si="77"/>
        <v>149619.77505119535</v>
      </c>
      <c r="O137" s="5">
        <f t="shared" si="77"/>
        <v>202384.85673909643</v>
      </c>
      <c r="P137" s="5">
        <f t="shared" si="77"/>
        <v>259158.41615050341</v>
      </c>
      <c r="Q137" s="5">
        <f t="shared" si="77"/>
        <v>316574.31190572883</v>
      </c>
      <c r="R137" s="5">
        <f t="shared" si="77"/>
        <v>371029.80795590178</v>
      </c>
      <c r="S137" s="5">
        <f>+S133/(1+$J$135)^(S127-2013)</f>
        <v>419060.8423078201</v>
      </c>
      <c r="T137" s="5">
        <f>+((S133*1.03)/(J135-0.03))/(1+J135)^10</f>
        <v>10187235.846855124</v>
      </c>
    </row>
    <row r="139" spans="1:20" x14ac:dyDescent="0.35">
      <c r="A139" t="s">
        <v>158</v>
      </c>
      <c r="J139" s="11">
        <f>+SUM(J137:S137)+T137</f>
        <v>12593342.879024781</v>
      </c>
    </row>
    <row r="140" spans="1:20" x14ac:dyDescent="0.35">
      <c r="A140" t="s">
        <v>159</v>
      </c>
      <c r="J140" s="11">
        <f>-I35+I55+I56+I59</f>
        <v>7217572</v>
      </c>
    </row>
    <row r="141" spans="1:20" x14ac:dyDescent="0.35">
      <c r="A141" t="s">
        <v>143</v>
      </c>
      <c r="J141" s="11">
        <f>+J139-J140</f>
        <v>5375770.8790247813</v>
      </c>
    </row>
    <row r="142" spans="1:20" x14ac:dyDescent="0.35">
      <c r="A142" t="s">
        <v>160</v>
      </c>
      <c r="J142" s="12">
        <f>+J141*1000/H123</f>
        <v>2.2010109553093939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abSelected="1" workbookViewId="0">
      <selection activeCell="A22" sqref="A22"/>
    </sheetView>
  </sheetViews>
  <sheetFormatPr defaultRowHeight="14.5" x14ac:dyDescent="0.35"/>
  <cols>
    <col min="3" max="3" width="11.90625" customWidth="1"/>
    <col min="4" max="4" width="14.6328125" bestFit="1" customWidth="1"/>
    <col min="6" max="6" width="9.7265625" customWidth="1"/>
    <col min="7" max="7" width="10.6328125" customWidth="1"/>
  </cols>
  <sheetData>
    <row r="2" spans="1:11" x14ac:dyDescent="0.35">
      <c r="D2" t="s">
        <v>170</v>
      </c>
      <c r="E2" t="s">
        <v>170</v>
      </c>
      <c r="F2" t="s">
        <v>173</v>
      </c>
      <c r="G2" t="s">
        <v>173</v>
      </c>
      <c r="H2" t="s">
        <v>174</v>
      </c>
      <c r="I2" t="s">
        <v>174</v>
      </c>
      <c r="J2" t="s">
        <v>174</v>
      </c>
      <c r="K2" t="s">
        <v>174</v>
      </c>
    </row>
    <row r="3" spans="1:11" x14ac:dyDescent="0.35">
      <c r="D3" t="s">
        <v>171</v>
      </c>
      <c r="E3" t="s">
        <v>172</v>
      </c>
      <c r="F3" t="s">
        <v>171</v>
      </c>
      <c r="G3" t="s">
        <v>172</v>
      </c>
      <c r="H3" t="s">
        <v>175</v>
      </c>
      <c r="I3" t="s">
        <v>175</v>
      </c>
      <c r="J3" t="s">
        <v>176</v>
      </c>
      <c r="K3" t="s">
        <v>176</v>
      </c>
    </row>
    <row r="4" spans="1:11" x14ac:dyDescent="0.35">
      <c r="H4" t="s">
        <v>171</v>
      </c>
      <c r="I4" t="s">
        <v>172</v>
      </c>
      <c r="J4" t="s">
        <v>171</v>
      </c>
      <c r="K4" t="s">
        <v>172</v>
      </c>
    </row>
    <row r="5" spans="1:11" x14ac:dyDescent="0.35">
      <c r="A5" t="s">
        <v>161</v>
      </c>
      <c r="D5">
        <v>0.626</v>
      </c>
      <c r="E5">
        <v>0.55600000000000005</v>
      </c>
      <c r="F5">
        <v>11.919</v>
      </c>
      <c r="G5">
        <v>10.568</v>
      </c>
      <c r="H5">
        <v>11.962999999999999</v>
      </c>
      <c r="I5">
        <v>11.006</v>
      </c>
      <c r="J5">
        <v>0.36199999999999999</v>
      </c>
      <c r="K5">
        <v>0.32100000000000001</v>
      </c>
    </row>
    <row r="6" spans="1:11" x14ac:dyDescent="0.35">
      <c r="A6" t="s">
        <v>162</v>
      </c>
      <c r="D6">
        <v>0.109</v>
      </c>
      <c r="E6">
        <v>0.10299999999999999</v>
      </c>
      <c r="F6">
        <v>9.2070000000000007</v>
      </c>
      <c r="G6">
        <v>8.2629999999999999</v>
      </c>
      <c r="H6">
        <v>13.198</v>
      </c>
      <c r="I6">
        <v>11.086</v>
      </c>
      <c r="J6">
        <v>0.06</v>
      </c>
      <c r="K6">
        <v>5.7000000000000002E-2</v>
      </c>
    </row>
    <row r="7" spans="1:11" x14ac:dyDescent="0.35">
      <c r="A7" t="s">
        <v>163</v>
      </c>
      <c r="D7">
        <v>0.23</v>
      </c>
      <c r="E7">
        <v>0.218</v>
      </c>
      <c r="F7">
        <v>6.7389999999999999</v>
      </c>
      <c r="G7">
        <v>6.3179999999999996</v>
      </c>
      <c r="H7">
        <v>11.423999999999999</v>
      </c>
      <c r="I7">
        <v>10.167999999999999</v>
      </c>
      <c r="J7">
        <v>0.187</v>
      </c>
      <c r="K7">
        <v>0.17699999999999999</v>
      </c>
    </row>
    <row r="8" spans="1:11" x14ac:dyDescent="0.35">
      <c r="A8" t="s">
        <v>164</v>
      </c>
      <c r="D8">
        <v>0.29699999999999999</v>
      </c>
      <c r="E8">
        <v>0.29499999999999998</v>
      </c>
      <c r="F8">
        <v>6.3780000000000001</v>
      </c>
      <c r="G8">
        <v>6.3719999999999999</v>
      </c>
      <c r="H8">
        <v>13.516999999999999</v>
      </c>
      <c r="I8">
        <v>12.991</v>
      </c>
      <c r="J8">
        <v>0.315</v>
      </c>
      <c r="K8">
        <v>0.313</v>
      </c>
    </row>
    <row r="9" spans="1:11" x14ac:dyDescent="0.35">
      <c r="A9" t="s">
        <v>165</v>
      </c>
      <c r="D9">
        <v>1.361</v>
      </c>
      <c r="E9">
        <v>1.2470000000000001</v>
      </c>
      <c r="F9">
        <v>9.6219999999999999</v>
      </c>
      <c r="G9">
        <v>8.9450000000000003</v>
      </c>
      <c r="H9">
        <v>13.077</v>
      </c>
      <c r="I9">
        <v>11.862</v>
      </c>
      <c r="J9">
        <v>0.78700000000000003</v>
      </c>
      <c r="K9">
        <v>0.72099999999999997</v>
      </c>
    </row>
    <row r="10" spans="1:11" x14ac:dyDescent="0.35">
      <c r="A10" t="s">
        <v>166</v>
      </c>
      <c r="D10">
        <v>0.34100000000000003</v>
      </c>
      <c r="E10">
        <v>0.33400000000000002</v>
      </c>
      <c r="F10">
        <v>12.462999999999999</v>
      </c>
      <c r="G10">
        <v>11.773</v>
      </c>
      <c r="H10">
        <v>6.0510000000000002</v>
      </c>
      <c r="I10">
        <v>5.97</v>
      </c>
      <c r="J10">
        <v>0.13200000000000001</v>
      </c>
      <c r="K10">
        <v>0.129</v>
      </c>
    </row>
    <row r="11" spans="1:11" x14ac:dyDescent="0.35">
      <c r="A11" t="s">
        <v>167</v>
      </c>
      <c r="D11">
        <v>3.6829999999999998</v>
      </c>
      <c r="E11">
        <v>3.4540000000000002</v>
      </c>
      <c r="F11">
        <v>12.099</v>
      </c>
      <c r="G11">
        <v>10.78</v>
      </c>
      <c r="H11">
        <v>21.684000000000001</v>
      </c>
      <c r="I11">
        <v>18.962</v>
      </c>
      <c r="J11">
        <v>3.766</v>
      </c>
      <c r="K11">
        <v>3.5310000000000001</v>
      </c>
    </row>
    <row r="12" spans="1:11" x14ac:dyDescent="0.35">
      <c r="A12" t="s">
        <v>168</v>
      </c>
      <c r="D12">
        <v>0.34599999999999997</v>
      </c>
      <c r="E12">
        <v>0.313</v>
      </c>
      <c r="F12">
        <v>7.7309999999999999</v>
      </c>
      <c r="G12">
        <v>6.9420000000000002</v>
      </c>
      <c r="H12">
        <v>9.9339999999999993</v>
      </c>
      <c r="I12">
        <v>8.3010000000000002</v>
      </c>
      <c r="J12">
        <v>0.153</v>
      </c>
      <c r="K12">
        <v>0.13800000000000001</v>
      </c>
    </row>
    <row r="13" spans="1:11" x14ac:dyDescent="0.35">
      <c r="A13" t="s">
        <v>169</v>
      </c>
      <c r="D13">
        <v>2.4380000000000002</v>
      </c>
      <c r="E13">
        <v>2.3050000000000002</v>
      </c>
      <c r="F13">
        <v>12.706</v>
      </c>
      <c r="G13">
        <v>11.971</v>
      </c>
      <c r="H13">
        <v>19.032</v>
      </c>
      <c r="I13">
        <v>17.652999999999999</v>
      </c>
      <c r="J13">
        <v>2.2919999999999998</v>
      </c>
      <c r="K13">
        <v>2.1669999999999998</v>
      </c>
    </row>
    <row r="15" spans="1:11" x14ac:dyDescent="0.35">
      <c r="A15" t="s">
        <v>177</v>
      </c>
      <c r="D15" s="21">
        <f>+AVERAGE(D5:D13)</f>
        <v>1.0478888888888891</v>
      </c>
      <c r="E15" s="21">
        <f t="shared" ref="E15:K15" si="0">+AVERAGE(E5:E13)</f>
        <v>0.98055555555555562</v>
      </c>
      <c r="F15" s="21">
        <f t="shared" si="0"/>
        <v>9.8737777777777787</v>
      </c>
      <c r="G15" s="21">
        <f t="shared" si="0"/>
        <v>9.1035555555555572</v>
      </c>
      <c r="H15" s="21">
        <f t="shared" si="0"/>
        <v>13.32</v>
      </c>
      <c r="I15" s="21">
        <f t="shared" si="0"/>
        <v>11.999888888888888</v>
      </c>
      <c r="J15" s="21">
        <f t="shared" si="0"/>
        <v>0.89488888888888873</v>
      </c>
      <c r="K15" s="21">
        <f t="shared" si="0"/>
        <v>0.83933333333333338</v>
      </c>
    </row>
    <row r="16" spans="1:11" x14ac:dyDescent="0.35">
      <c r="A16" t="s">
        <v>178</v>
      </c>
      <c r="D16" s="14">
        <f>+AVERAGE(D5,D7,D8,D9,D10,D12,D13)</f>
        <v>0.80557142857142872</v>
      </c>
      <c r="E16" s="14">
        <f t="shared" ref="E16:K16" si="1">+AVERAGE(E5,E7,E8,E9,E10,E12,E13)</f>
        <v>0.75257142857142867</v>
      </c>
      <c r="F16" s="14">
        <f>+AVERAGE(F5,F6,F7,F9,F10,F12,F11)</f>
        <v>9.968571428571428</v>
      </c>
      <c r="G16" s="14">
        <f>+AVERAGE(G5,G6,G8,G9,G10,G11,G12)</f>
        <v>9.0918571428571422</v>
      </c>
      <c r="H16" s="14">
        <f>+AVERAGE(H5,H6,H7,H8,H9,H12,H13)</f>
        <v>13.163571428571428</v>
      </c>
      <c r="I16" s="14">
        <f>+AVERAGE(I5,I6,I7,I8,I9,I12,I13)</f>
        <v>11.866714285714286</v>
      </c>
      <c r="J16" s="14">
        <f t="shared" si="1"/>
        <v>0.60399999999999998</v>
      </c>
      <c r="K16" s="14">
        <f t="shared" si="1"/>
        <v>0.5665714285714285</v>
      </c>
    </row>
    <row r="17" spans="1:11" x14ac:dyDescent="0.35">
      <c r="A17" t="s">
        <v>179</v>
      </c>
      <c r="D17" s="14">
        <f>+MEDIAN(D5:D13)</f>
        <v>0.34599999999999997</v>
      </c>
      <c r="E17" s="14">
        <f t="shared" ref="E17:K17" si="2">+MEDIAN(E5:E13)</f>
        <v>0.33400000000000002</v>
      </c>
      <c r="F17" s="14">
        <f t="shared" si="2"/>
        <v>9.6219999999999999</v>
      </c>
      <c r="G17" s="14">
        <f t="shared" si="2"/>
        <v>8.9450000000000003</v>
      </c>
      <c r="H17" s="14">
        <f t="shared" si="2"/>
        <v>13.077</v>
      </c>
      <c r="I17" s="14">
        <f t="shared" si="2"/>
        <v>11.086</v>
      </c>
      <c r="J17" s="14">
        <f t="shared" si="2"/>
        <v>0.315</v>
      </c>
      <c r="K17" s="14">
        <f t="shared" si="2"/>
        <v>0.313</v>
      </c>
    </row>
    <row r="18" spans="1:11" x14ac:dyDescent="0.35">
      <c r="D18" s="14"/>
      <c r="E18" s="14"/>
      <c r="F18" s="14"/>
      <c r="G18" s="14"/>
      <c r="H18" s="14"/>
      <c r="I18" s="14"/>
      <c r="J18" s="14"/>
      <c r="K18" s="14"/>
    </row>
    <row r="19" spans="1:11" x14ac:dyDescent="0.35">
      <c r="A19" t="s">
        <v>185</v>
      </c>
      <c r="D19" s="14">
        <f>+AVERAGE(D5:D6)</f>
        <v>0.36749999999999999</v>
      </c>
      <c r="E19" s="14">
        <f t="shared" ref="E19:K19" si="3">+AVERAGE(E5:E6)</f>
        <v>0.32950000000000002</v>
      </c>
      <c r="F19" s="14">
        <f t="shared" si="3"/>
        <v>10.563000000000001</v>
      </c>
      <c r="G19" s="14">
        <f t="shared" si="3"/>
        <v>9.4154999999999998</v>
      </c>
      <c r="H19" s="14">
        <f t="shared" si="3"/>
        <v>12.580500000000001</v>
      </c>
      <c r="I19" s="14">
        <f t="shared" si="3"/>
        <v>11.045999999999999</v>
      </c>
      <c r="J19" s="14">
        <f t="shared" si="3"/>
        <v>0.21099999999999999</v>
      </c>
      <c r="K19" s="14">
        <f t="shared" si="3"/>
        <v>0.189</v>
      </c>
    </row>
    <row r="20" spans="1:11" x14ac:dyDescent="0.35">
      <c r="A20" t="s">
        <v>186</v>
      </c>
      <c r="D20" s="14"/>
      <c r="E20" s="14"/>
      <c r="F20" s="14"/>
      <c r="G20" s="14"/>
      <c r="H20" s="14"/>
      <c r="I20" s="14"/>
      <c r="J20" s="14"/>
      <c r="K20" s="14"/>
    </row>
    <row r="21" spans="1:11" x14ac:dyDescent="0.35">
      <c r="A21" t="s">
        <v>187</v>
      </c>
      <c r="D21" s="14">
        <f>+AVERAGE(D5,D6,D7,D12)</f>
        <v>0.32774999999999999</v>
      </c>
      <c r="E21" s="14">
        <f t="shared" ref="E21:K21" si="4">+AVERAGE(E5,E6,E7,E12)</f>
        <v>0.29749999999999999</v>
      </c>
      <c r="F21" s="14">
        <f t="shared" si="4"/>
        <v>8.8990000000000009</v>
      </c>
      <c r="G21" s="14">
        <f t="shared" si="4"/>
        <v>8.0227500000000003</v>
      </c>
      <c r="H21" s="14">
        <f t="shared" si="4"/>
        <v>11.62975</v>
      </c>
      <c r="I21" s="14">
        <f t="shared" si="4"/>
        <v>10.14025</v>
      </c>
      <c r="J21" s="14">
        <f t="shared" si="4"/>
        <v>0.1905</v>
      </c>
      <c r="K21" s="14">
        <f t="shared" si="4"/>
        <v>0.17324999999999999</v>
      </c>
    </row>
    <row r="22" spans="1:11" x14ac:dyDescent="0.35">
      <c r="A22" t="s">
        <v>180</v>
      </c>
      <c r="D22" s="14">
        <f>+Capital!B45/Projections!J10</f>
        <v>0.48882517845166262</v>
      </c>
      <c r="E22" s="14">
        <f>+Capital!B45/Projections!K10</f>
        <v>0.46703313610215541</v>
      </c>
      <c r="F22" s="14">
        <f>+Capital!B45/Projections!J25</f>
        <v>8.6410673228153208</v>
      </c>
      <c r="G22" s="14">
        <f>+Capital!B45/Projections!K25</f>
        <v>8.2558447251574361</v>
      </c>
      <c r="H22" s="14">
        <f>+Capital!B43/Projections!J23</f>
        <v>22.547907390297446</v>
      </c>
      <c r="I22" s="14">
        <f>+Capital!B43/Projections!K23</f>
        <v>22.109028400802483</v>
      </c>
      <c r="J22" s="14">
        <f>+Capital!B43/Projections!J10</f>
        <v>0.23445586114039063</v>
      </c>
      <c r="K22" s="14">
        <f>+Capital!B43/Projections!K10</f>
        <v>0.22400371530116645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Capital</vt:lpstr>
      <vt:lpstr>Projections</vt:lpstr>
      <vt:lpstr>Comparables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mmagnan</dc:creator>
  <cp:lastModifiedBy>Michel Magnan</cp:lastModifiedBy>
  <cp:lastPrinted>2015-10-11T22:54:35Z</cp:lastPrinted>
  <dcterms:created xsi:type="dcterms:W3CDTF">2015-09-27T18:32:17Z</dcterms:created>
  <dcterms:modified xsi:type="dcterms:W3CDTF">2015-10-19T17:51:26Z</dcterms:modified>
</cp:coreProperties>
</file>