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10" windowWidth="13400" windowHeight="77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6" i="2" l="1"/>
  <c r="E69" i="2" s="1"/>
  <c r="D66" i="2"/>
  <c r="D69" i="2" s="1"/>
  <c r="F43" i="2"/>
  <c r="E55" i="2"/>
  <c r="E74" i="2"/>
  <c r="D74" i="2"/>
  <c r="E53" i="2"/>
  <c r="E49" i="2"/>
  <c r="D49" i="2"/>
  <c r="E47" i="2"/>
  <c r="D47" i="2"/>
  <c r="E41" i="2"/>
  <c r="D41" i="2"/>
  <c r="E33" i="2"/>
  <c r="E36" i="2" s="1"/>
  <c r="E42" i="2" s="1"/>
  <c r="D33" i="2"/>
  <c r="D36" i="2" s="1"/>
  <c r="D42" i="2" s="1"/>
  <c r="G18" i="2"/>
  <c r="G33" i="2" s="1"/>
  <c r="G38" i="2" s="1"/>
  <c r="F18" i="2"/>
  <c r="F33" i="2" s="1"/>
  <c r="F38" i="2" s="1"/>
  <c r="E19" i="2"/>
  <c r="F12" i="2"/>
  <c r="F11" i="2" s="1"/>
  <c r="F19" i="2" s="1"/>
  <c r="F54" i="2" s="1"/>
  <c r="F68" i="2" s="1"/>
  <c r="F22" i="1"/>
  <c r="F20" i="1"/>
  <c r="F21" i="1" s="1"/>
  <c r="F18" i="1"/>
  <c r="F19" i="1" s="1"/>
  <c r="F23" i="1" l="1"/>
  <c r="G12" i="2"/>
  <c r="G11" i="2" s="1"/>
  <c r="G19" i="2" s="1"/>
  <c r="G54" i="2" s="1"/>
  <c r="G68" i="2" s="1"/>
  <c r="F35" i="2"/>
  <c r="F34" i="2"/>
  <c r="F20" i="2"/>
  <c r="F52" i="2" s="1"/>
  <c r="F55" i="2" l="1"/>
  <c r="F40" i="2"/>
  <c r="G20" i="2"/>
  <c r="G52" i="2" s="1"/>
  <c r="G34" i="2"/>
  <c r="F53" i="2"/>
  <c r="G35" i="2"/>
  <c r="F36" i="2"/>
  <c r="F44" i="2" s="1"/>
  <c r="F39" i="2"/>
  <c r="F41" i="2" s="1"/>
  <c r="F42" i="2" s="1"/>
  <c r="F45" i="2" s="1"/>
  <c r="F47" i="2" s="1"/>
  <c r="F48" i="2" s="1"/>
  <c r="F49" i="2" s="1"/>
  <c r="F62" i="2" l="1"/>
  <c r="G62" i="2" s="1"/>
  <c r="F67" i="2"/>
  <c r="F64" i="2"/>
  <c r="F60" i="2"/>
  <c r="F63" i="2"/>
  <c r="G63" i="2" s="1"/>
  <c r="F65" i="2"/>
  <c r="F61" i="2"/>
  <c r="F73" i="2"/>
  <c r="F74" i="2" s="1"/>
  <c r="G36" i="2"/>
  <c r="G44" i="2" s="1"/>
  <c r="G39" i="2"/>
  <c r="G53" i="2"/>
  <c r="G40" i="2"/>
  <c r="G41" i="2" s="1"/>
  <c r="G42" i="2" s="1"/>
  <c r="G55" i="2"/>
  <c r="G45" i="2" l="1"/>
  <c r="G47" i="2" s="1"/>
  <c r="G48" i="2" s="1"/>
  <c r="G49" i="2" s="1"/>
  <c r="G60" i="2"/>
  <c r="F66" i="2"/>
  <c r="G61" i="2"/>
  <c r="G64" i="2"/>
  <c r="G65" i="2"/>
  <c r="G43" i="2"/>
  <c r="F79" i="2"/>
  <c r="G67" i="2"/>
  <c r="F58" i="2"/>
  <c r="F80" i="2" s="1"/>
  <c r="G78" i="2" l="1"/>
  <c r="G73" i="2"/>
  <c r="G74" i="2" s="1"/>
  <c r="F69" i="2"/>
  <c r="F78" i="2"/>
  <c r="G79" i="2"/>
  <c r="G66" i="2"/>
  <c r="G69" i="2" l="1"/>
  <c r="G58" i="2"/>
  <c r="G80" i="2" s="1"/>
</calcChain>
</file>

<file path=xl/sharedStrings.xml><?xml version="1.0" encoding="utf-8"?>
<sst xmlns="http://schemas.openxmlformats.org/spreadsheetml/2006/main" count="94" uniqueCount="86">
  <si>
    <t>Pros</t>
  </si>
  <si>
    <t>FUTURE GROWTH</t>
  </si>
  <si>
    <t>. High quality product (at least, consistency in quality)</t>
  </si>
  <si>
    <t>. Fragmented competition with less brand recognition</t>
  </si>
  <si>
    <t>. Opportunities for expansion</t>
  </si>
  <si>
    <t>. Area developer model seems to be working (works for other fast food operators)</t>
  </si>
  <si>
    <t>. Low risk from area developer model since company can easily take over</t>
  </si>
  <si>
    <t>. Small-store concept being tested. Potential in the international area.</t>
  </si>
  <si>
    <t>Cons</t>
  </si>
  <si>
    <t>. Fad</t>
  </si>
  <si>
    <t>. Emergence of competition</t>
  </si>
  <si>
    <t>. Growing pains (managerial depth+skills)</t>
  </si>
  <si>
    <t xml:space="preserve">. Financing </t>
  </si>
  <si>
    <t>Area developer model - Figures$</t>
  </si>
  <si>
    <t>Sales (52 weeks X $70K per week)</t>
  </si>
  <si>
    <t xml:space="preserve">Gross margin </t>
  </si>
  <si>
    <t>Royalties</t>
  </si>
  <si>
    <t>Mark-up on KKMD</t>
  </si>
  <si>
    <t>Capital charge</t>
  </si>
  <si>
    <t>NET</t>
  </si>
  <si>
    <t>2003E</t>
  </si>
  <si>
    <t>2004E</t>
  </si>
  <si>
    <t>2002A</t>
  </si>
  <si>
    <t>2001A</t>
  </si>
  <si>
    <t>Number of stores</t>
  </si>
  <si>
    <t>Company</t>
  </si>
  <si>
    <t>Franchised</t>
  </si>
  <si>
    <t>Average - Company</t>
  </si>
  <si>
    <t>Average - Franchised</t>
  </si>
  <si>
    <t>Avg weekly sales per store</t>
  </si>
  <si>
    <t>Old</t>
  </si>
  <si>
    <t>New</t>
  </si>
  <si>
    <t>Growth rate</t>
  </si>
  <si>
    <t>System Sales</t>
  </si>
  <si>
    <t>INCOME STATEMENT</t>
  </si>
  <si>
    <t>Sales - Company Stores</t>
  </si>
  <si>
    <t>Franchise Royalties</t>
  </si>
  <si>
    <t>Royalty rate</t>
  </si>
  <si>
    <t>Margin Support Sales</t>
  </si>
  <si>
    <t>Support Sales</t>
  </si>
  <si>
    <t>Net Sales</t>
  </si>
  <si>
    <t>Company Store Expenses</t>
  </si>
  <si>
    <t>Franchise Expenses</t>
  </si>
  <si>
    <t>Support Operations Expenses</t>
  </si>
  <si>
    <t>Support Sales (% of Franchised Sales)</t>
  </si>
  <si>
    <t>Gross Margin Company Stores Sales</t>
  </si>
  <si>
    <t>Franchise Royalty Margin</t>
  </si>
  <si>
    <t>Depreciation &amp; Amortization</t>
  </si>
  <si>
    <t>SG&amp;A Expenses</t>
  </si>
  <si>
    <t>Gross Margin</t>
  </si>
  <si>
    <t>Operating Profit</t>
  </si>
  <si>
    <t>Others</t>
  </si>
  <si>
    <t>Earnings Before Taxes</t>
  </si>
  <si>
    <t>Income Taxes</t>
  </si>
  <si>
    <t>Net Earnings</t>
  </si>
  <si>
    <t>SG&amp;A Expenses (% of sales)</t>
  </si>
  <si>
    <t>Income Tax Rate</t>
  </si>
  <si>
    <t>BALANCE SHEET</t>
  </si>
  <si>
    <t>Receivables</t>
  </si>
  <si>
    <t>Inventory</t>
  </si>
  <si>
    <t>Other ST Assets</t>
  </si>
  <si>
    <t>Accounts Payable</t>
  </si>
  <si>
    <t>Accrued Liabilities</t>
  </si>
  <si>
    <t>Other ST Liabilities</t>
  </si>
  <si>
    <t>BALANCE SHEET PROJECTIONS</t>
  </si>
  <si>
    <t>Net</t>
  </si>
  <si>
    <t>Support Sales+Royalty Growth</t>
  </si>
  <si>
    <t>Net Plant Property Equip.</t>
  </si>
  <si>
    <t>Other Assets</t>
  </si>
  <si>
    <t>Total System Sales Growth</t>
  </si>
  <si>
    <t>Total Investments</t>
  </si>
  <si>
    <t>Long-Term Debt</t>
  </si>
  <si>
    <t>Other LT Liabilities</t>
  </si>
  <si>
    <t>Equity</t>
  </si>
  <si>
    <t>Total Capital</t>
  </si>
  <si>
    <t>Minority Interest</t>
  </si>
  <si>
    <t>Franchise Sales Growth</t>
  </si>
  <si>
    <t>Support Sales Growth</t>
  </si>
  <si>
    <t>Depreciation&amp;Amortization (%Lagged PPE)</t>
  </si>
  <si>
    <t>Non-Cash Working Capital</t>
  </si>
  <si>
    <t>Cash (Financing)</t>
  </si>
  <si>
    <t>CASH FLOW</t>
  </si>
  <si>
    <t>Operations</t>
  </si>
  <si>
    <t>Investments</t>
  </si>
  <si>
    <t>Financing</t>
  </si>
  <si>
    <t>Change in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</si>
</sst>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1" fontId="0" fillId="0" borderId="0" xfId="0" applyNumberFormat="1"/>
    <xf numFmtId="3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9" fontId="0" fillId="0" borderId="0" xfId="2" applyFont="1"/>
    <xf numFmtId="165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4" workbookViewId="0">
      <selection activeCell="A26" sqref="A26"/>
    </sheetView>
  </sheetViews>
  <sheetFormatPr defaultRowHeight="14.5" x14ac:dyDescent="0.35"/>
  <sheetData>
    <row r="1" spans="1:1" x14ac:dyDescent="0.35">
      <c r="A1" t="s">
        <v>1</v>
      </c>
    </row>
    <row r="3" spans="1:1" x14ac:dyDescent="0.35">
      <c r="A3" t="s">
        <v>0</v>
      </c>
    </row>
    <row r="4" spans="1:1" x14ac:dyDescent="0.35">
      <c r="A4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1" spans="1:1" x14ac:dyDescent="0.35">
      <c r="A11" t="s">
        <v>8</v>
      </c>
    </row>
    <row r="12" spans="1:1" x14ac:dyDescent="0.35">
      <c r="A12" t="s">
        <v>9</v>
      </c>
    </row>
    <row r="13" spans="1:1" x14ac:dyDescent="0.35">
      <c r="A13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7" spans="1:6" x14ac:dyDescent="0.35">
      <c r="A17" t="s">
        <v>13</v>
      </c>
    </row>
    <row r="18" spans="1:6" x14ac:dyDescent="0.35">
      <c r="A18" t="s">
        <v>14</v>
      </c>
      <c r="F18" s="4">
        <f>52*70</f>
        <v>3640</v>
      </c>
    </row>
    <row r="19" spans="1:6" x14ac:dyDescent="0.35">
      <c r="A19" t="s">
        <v>15</v>
      </c>
      <c r="E19" s="1">
        <v>0.18</v>
      </c>
      <c r="F19" s="4">
        <f>+F18*E19</f>
        <v>655.19999999999993</v>
      </c>
    </row>
    <row r="20" spans="1:6" x14ac:dyDescent="0.35">
      <c r="A20" t="s">
        <v>16</v>
      </c>
      <c r="E20" s="2">
        <v>5.5E-2</v>
      </c>
      <c r="F20" s="4">
        <f>+E20*F18</f>
        <v>200.2</v>
      </c>
    </row>
    <row r="21" spans="1:6" x14ac:dyDescent="0.35">
      <c r="A21" t="s">
        <v>17</v>
      </c>
      <c r="D21">
        <v>8.1999999999999993</v>
      </c>
      <c r="E21" s="1">
        <v>0.17</v>
      </c>
      <c r="F21" s="4">
        <f>+F20*D21*E21</f>
        <v>279.0788</v>
      </c>
    </row>
    <row r="22" spans="1:6" x14ac:dyDescent="0.35">
      <c r="A22" t="s">
        <v>18</v>
      </c>
      <c r="D22" s="1">
        <v>0.1</v>
      </c>
      <c r="E22" s="5">
        <v>1400</v>
      </c>
      <c r="F22">
        <f>+D22*E22</f>
        <v>140</v>
      </c>
    </row>
    <row r="23" spans="1:6" x14ac:dyDescent="0.35">
      <c r="A23" t="s">
        <v>19</v>
      </c>
      <c r="F23" s="4">
        <f>+F19-SUM(F20:F22)</f>
        <v>35.921199999999885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72" workbookViewId="0">
      <selection activeCell="G70" sqref="G70"/>
    </sheetView>
  </sheetViews>
  <sheetFormatPr defaultRowHeight="14.5" x14ac:dyDescent="0.35"/>
  <cols>
    <col min="4" max="4" width="12.54296875" bestFit="1" customWidth="1"/>
    <col min="5" max="5" width="12.7265625" bestFit="1" customWidth="1"/>
    <col min="6" max="6" width="12.26953125" customWidth="1"/>
    <col min="7" max="7" width="13.26953125" bestFit="1" customWidth="1"/>
  </cols>
  <sheetData>
    <row r="1" spans="1:7" x14ac:dyDescent="0.35">
      <c r="D1" s="8" t="s">
        <v>23</v>
      </c>
      <c r="E1" s="8" t="s">
        <v>22</v>
      </c>
      <c r="F1" s="8" t="s">
        <v>20</v>
      </c>
      <c r="G1" s="8" t="s">
        <v>21</v>
      </c>
    </row>
    <row r="2" spans="1:7" x14ac:dyDescent="0.35">
      <c r="A2" t="s">
        <v>24</v>
      </c>
    </row>
    <row r="3" spans="1:7" x14ac:dyDescent="0.35">
      <c r="A3" t="s">
        <v>25</v>
      </c>
      <c r="D3">
        <v>63</v>
      </c>
      <c r="E3">
        <v>75</v>
      </c>
      <c r="F3">
        <v>80</v>
      </c>
      <c r="G3">
        <v>87</v>
      </c>
    </row>
    <row r="4" spans="1:7" x14ac:dyDescent="0.35">
      <c r="A4" t="s">
        <v>26</v>
      </c>
      <c r="D4">
        <v>111</v>
      </c>
      <c r="E4">
        <v>143</v>
      </c>
      <c r="F4">
        <v>200</v>
      </c>
      <c r="G4">
        <v>273</v>
      </c>
    </row>
    <row r="6" spans="1:7" x14ac:dyDescent="0.35">
      <c r="A6" t="s">
        <v>27</v>
      </c>
      <c r="E6">
        <v>69</v>
      </c>
      <c r="F6">
        <v>77.5</v>
      </c>
      <c r="G6">
        <v>83.5</v>
      </c>
    </row>
    <row r="7" spans="1:7" x14ac:dyDescent="0.35">
      <c r="A7" t="s">
        <v>28</v>
      </c>
      <c r="E7">
        <v>127</v>
      </c>
      <c r="F7">
        <v>171.5</v>
      </c>
      <c r="G7">
        <v>236.5</v>
      </c>
    </row>
    <row r="9" spans="1:7" x14ac:dyDescent="0.35">
      <c r="A9" t="s">
        <v>29</v>
      </c>
    </row>
    <row r="10" spans="1:7" x14ac:dyDescent="0.35">
      <c r="A10" t="s">
        <v>25</v>
      </c>
      <c r="D10">
        <v>69</v>
      </c>
      <c r="E10">
        <v>72</v>
      </c>
      <c r="F10" s="3">
        <v>75</v>
      </c>
      <c r="G10" s="3">
        <v>77</v>
      </c>
    </row>
    <row r="11" spans="1:7" x14ac:dyDescent="0.35">
      <c r="A11" t="s">
        <v>26</v>
      </c>
      <c r="D11" s="4">
        <v>43</v>
      </c>
      <c r="E11" s="4">
        <v>53</v>
      </c>
      <c r="F11" s="3">
        <f>+E7*F12/F7+F13*(F7-E7)/F7</f>
        <v>59.629679300291556</v>
      </c>
      <c r="G11" s="3">
        <f>+E7*G12/G7+G13*(G7-E7)/G7</f>
        <v>65.508454968287523</v>
      </c>
    </row>
    <row r="12" spans="1:7" x14ac:dyDescent="0.35">
      <c r="B12" t="s">
        <v>30</v>
      </c>
      <c r="D12" s="4"/>
      <c r="E12" s="4">
        <v>53</v>
      </c>
      <c r="F12" s="3">
        <f>+E12*(1+F15)</f>
        <v>55.120000000000005</v>
      </c>
      <c r="G12" s="3">
        <f>+F12*(1+G15)</f>
        <v>57.324800000000003</v>
      </c>
    </row>
    <row r="13" spans="1:7" x14ac:dyDescent="0.35">
      <c r="B13" t="s">
        <v>31</v>
      </c>
      <c r="D13" s="4"/>
      <c r="E13" s="4">
        <v>70</v>
      </c>
      <c r="F13" s="3">
        <v>72.5</v>
      </c>
      <c r="G13" s="3">
        <v>75</v>
      </c>
    </row>
    <row r="15" spans="1:7" x14ac:dyDescent="0.35">
      <c r="A15" t="s">
        <v>32</v>
      </c>
      <c r="E15" s="1">
        <v>0.04</v>
      </c>
      <c r="F15" s="1">
        <v>0.04</v>
      </c>
      <c r="G15" s="1">
        <v>0.04</v>
      </c>
    </row>
    <row r="16" spans="1:7" x14ac:dyDescent="0.35">
      <c r="E16" s="1"/>
      <c r="F16" s="1"/>
      <c r="G16" s="1"/>
    </row>
    <row r="17" spans="1:7" x14ac:dyDescent="0.35">
      <c r="A17" t="s">
        <v>33</v>
      </c>
    </row>
    <row r="18" spans="1:7" x14ac:dyDescent="0.35">
      <c r="A18" t="s">
        <v>25</v>
      </c>
      <c r="D18">
        <v>213677</v>
      </c>
      <c r="E18" s="6">
        <v>266209</v>
      </c>
      <c r="F18" s="6">
        <f>+F10*F6*52</f>
        <v>302250</v>
      </c>
      <c r="G18" s="6">
        <f>+G10*G6*52</f>
        <v>334334</v>
      </c>
    </row>
    <row r="19" spans="1:7" x14ac:dyDescent="0.35">
      <c r="A19" t="s">
        <v>26</v>
      </c>
      <c r="E19" s="6">
        <f>+E20-E18</f>
        <v>355456</v>
      </c>
      <c r="F19" s="6">
        <f>+F7*F11*52</f>
        <v>531777.4800000001</v>
      </c>
      <c r="G19" s="6">
        <f>+G7*G11*52</f>
        <v>805622.97919999994</v>
      </c>
    </row>
    <row r="20" spans="1:7" x14ac:dyDescent="0.35">
      <c r="E20" s="6">
        <v>621665</v>
      </c>
      <c r="F20" s="6">
        <f>+F18+F19</f>
        <v>834027.4800000001</v>
      </c>
      <c r="G20" s="6">
        <f>+G18+G19</f>
        <v>1139956.9791999999</v>
      </c>
    </row>
    <row r="22" spans="1:7" x14ac:dyDescent="0.35">
      <c r="A22" t="s">
        <v>45</v>
      </c>
      <c r="E22" s="7">
        <v>0.18</v>
      </c>
      <c r="F22" s="7">
        <v>0.185</v>
      </c>
      <c r="G22" s="7">
        <v>0.19</v>
      </c>
    </row>
    <row r="23" spans="1:7" x14ac:dyDescent="0.35">
      <c r="A23" t="s">
        <v>37</v>
      </c>
      <c r="E23" s="7">
        <v>0.04</v>
      </c>
      <c r="F23" s="7">
        <v>0.04</v>
      </c>
      <c r="G23" s="7">
        <v>0.04</v>
      </c>
    </row>
    <row r="24" spans="1:7" x14ac:dyDescent="0.35">
      <c r="A24" t="s">
        <v>46</v>
      </c>
      <c r="E24" s="7">
        <v>0.65</v>
      </c>
      <c r="F24" s="7">
        <v>0.67500000000000004</v>
      </c>
      <c r="G24" s="7">
        <v>0.7</v>
      </c>
    </row>
    <row r="25" spans="1:7" x14ac:dyDescent="0.35">
      <c r="A25" t="s">
        <v>44</v>
      </c>
      <c r="E25" s="7">
        <v>0.33</v>
      </c>
      <c r="F25" s="7">
        <v>0.32</v>
      </c>
      <c r="G25" s="7">
        <v>0.3</v>
      </c>
    </row>
    <row r="26" spans="1:7" x14ac:dyDescent="0.35">
      <c r="A26" t="s">
        <v>38</v>
      </c>
      <c r="E26" s="7">
        <v>0.17</v>
      </c>
      <c r="F26" s="7">
        <v>0.18</v>
      </c>
      <c r="G26" s="7">
        <v>0.19</v>
      </c>
    </row>
    <row r="27" spans="1:7" x14ac:dyDescent="0.35">
      <c r="A27" t="s">
        <v>78</v>
      </c>
      <c r="F27" s="1">
        <v>0.08</v>
      </c>
      <c r="G27" s="1">
        <v>0.08</v>
      </c>
    </row>
    <row r="28" spans="1:7" x14ac:dyDescent="0.35">
      <c r="A28" t="s">
        <v>55</v>
      </c>
      <c r="F28" s="7">
        <v>6.7000000000000004E-2</v>
      </c>
      <c r="G28" s="7">
        <v>6.7000000000000004E-2</v>
      </c>
    </row>
    <row r="29" spans="1:7" x14ac:dyDescent="0.35">
      <c r="A29" t="s">
        <v>56</v>
      </c>
      <c r="F29" s="1">
        <v>0.38</v>
      </c>
      <c r="G29" s="1">
        <v>0.38</v>
      </c>
    </row>
    <row r="31" spans="1:7" x14ac:dyDescent="0.35">
      <c r="D31" s="8" t="s">
        <v>23</v>
      </c>
      <c r="E31" s="8" t="s">
        <v>22</v>
      </c>
      <c r="F31" s="8" t="s">
        <v>20</v>
      </c>
      <c r="G31" s="8" t="s">
        <v>21</v>
      </c>
    </row>
    <row r="32" spans="1:7" x14ac:dyDescent="0.35">
      <c r="A32" s="9" t="s">
        <v>34</v>
      </c>
    </row>
    <row r="33" spans="1:7" x14ac:dyDescent="0.35">
      <c r="A33" t="s">
        <v>35</v>
      </c>
      <c r="D33" s="6">
        <f>+D18</f>
        <v>213677</v>
      </c>
      <c r="E33" s="6">
        <f t="shared" ref="E33:G33" si="0">+E18</f>
        <v>266209</v>
      </c>
      <c r="F33" s="6">
        <f t="shared" si="0"/>
        <v>302250</v>
      </c>
      <c r="G33" s="6">
        <f t="shared" si="0"/>
        <v>334334</v>
      </c>
    </row>
    <row r="34" spans="1:7" x14ac:dyDescent="0.35">
      <c r="A34" t="s">
        <v>36</v>
      </c>
      <c r="D34" s="6">
        <v>9445</v>
      </c>
      <c r="E34" s="6">
        <v>14963</v>
      </c>
      <c r="F34" s="6">
        <f>+F23*F19</f>
        <v>21271.099200000004</v>
      </c>
      <c r="G34" s="6">
        <f>+G23*G19</f>
        <v>32224.919167999997</v>
      </c>
    </row>
    <row r="35" spans="1:7" x14ac:dyDescent="0.35">
      <c r="A35" t="s">
        <v>39</v>
      </c>
      <c r="D35" s="6">
        <v>77516</v>
      </c>
      <c r="E35" s="6">
        <v>114137</v>
      </c>
      <c r="F35" s="6">
        <f>+F25*F19</f>
        <v>170168.79360000003</v>
      </c>
      <c r="G35" s="6">
        <f>+G25*G19</f>
        <v>241686.89375999998</v>
      </c>
    </row>
    <row r="36" spans="1:7" x14ac:dyDescent="0.35">
      <c r="A36" t="s">
        <v>40</v>
      </c>
      <c r="D36" s="6">
        <f>+SUM(D33:D35)</f>
        <v>300638</v>
      </c>
      <c r="E36" s="6">
        <f t="shared" ref="E36:G36" si="1">+SUM(E33:E35)</f>
        <v>395309</v>
      </c>
      <c r="F36" s="6">
        <f t="shared" si="1"/>
        <v>493689.89280000003</v>
      </c>
      <c r="G36" s="6">
        <f t="shared" si="1"/>
        <v>608245.812928</v>
      </c>
    </row>
    <row r="37" spans="1:7" x14ac:dyDescent="0.35">
      <c r="D37" s="6"/>
      <c r="E37" s="6"/>
      <c r="F37" s="6"/>
      <c r="G37" s="6"/>
    </row>
    <row r="38" spans="1:7" x14ac:dyDescent="0.35">
      <c r="A38" t="s">
        <v>41</v>
      </c>
      <c r="D38" s="6">
        <v>181469</v>
      </c>
      <c r="E38" s="6">
        <v>217418</v>
      </c>
      <c r="F38" s="6">
        <f>+(1-F22)*F33</f>
        <v>246333.74999999997</v>
      </c>
      <c r="G38" s="6">
        <f>+(1-G22)*G33</f>
        <v>270810.54000000004</v>
      </c>
    </row>
    <row r="39" spans="1:7" x14ac:dyDescent="0.35">
      <c r="A39" t="s">
        <v>42</v>
      </c>
      <c r="D39" s="6">
        <v>3643</v>
      </c>
      <c r="E39" s="6">
        <v>4896</v>
      </c>
      <c r="F39" s="6">
        <f>+(1-F24)*F34</f>
        <v>6913.1072400000003</v>
      </c>
      <c r="G39" s="6">
        <f>+(1-G24)*G34</f>
        <v>9667.4757504000008</v>
      </c>
    </row>
    <row r="40" spans="1:7" x14ac:dyDescent="0.35">
      <c r="A40" t="s">
        <v>43</v>
      </c>
      <c r="D40" s="6">
        <v>65512</v>
      </c>
      <c r="E40" s="6">
        <v>94631</v>
      </c>
      <c r="F40" s="6">
        <f>+(1-F26)*F35</f>
        <v>139538.41075200003</v>
      </c>
      <c r="G40" s="6">
        <f>+(1-G26)*G35</f>
        <v>195766.38394559998</v>
      </c>
    </row>
    <row r="41" spans="1:7" x14ac:dyDescent="0.35">
      <c r="D41" s="6">
        <f>+SUM(D38:D40)</f>
        <v>250624</v>
      </c>
      <c r="E41" s="6">
        <f t="shared" ref="E41:G41" si="2">+SUM(E38:E40)</f>
        <v>316945</v>
      </c>
      <c r="F41" s="6">
        <f t="shared" si="2"/>
        <v>392785.26799199998</v>
      </c>
      <c r="G41" s="6">
        <f t="shared" si="2"/>
        <v>476244.39969600004</v>
      </c>
    </row>
    <row r="42" spans="1:7" x14ac:dyDescent="0.35">
      <c r="A42" t="s">
        <v>49</v>
      </c>
      <c r="D42" s="6">
        <f>+D36-D41</f>
        <v>50014</v>
      </c>
      <c r="E42" s="6">
        <f t="shared" ref="E42:G42" si="3">+E36-E41</f>
        <v>78364</v>
      </c>
      <c r="F42" s="6">
        <f t="shared" si="3"/>
        <v>100904.62480800005</v>
      </c>
      <c r="G42" s="6">
        <f t="shared" si="3"/>
        <v>132001.41323199996</v>
      </c>
    </row>
    <row r="43" spans="1:7" x14ac:dyDescent="0.35">
      <c r="A43" t="s">
        <v>47</v>
      </c>
      <c r="D43" s="6">
        <v>6458</v>
      </c>
      <c r="E43" s="6">
        <v>7959</v>
      </c>
      <c r="F43" s="6">
        <f>+F27*E67</f>
        <v>9006.16</v>
      </c>
      <c r="G43" s="6">
        <f>+G27*F67</f>
        <v>13355.060456542589</v>
      </c>
    </row>
    <row r="44" spans="1:7" x14ac:dyDescent="0.35">
      <c r="A44" t="s">
        <v>48</v>
      </c>
      <c r="D44" s="6">
        <v>20061</v>
      </c>
      <c r="E44" s="6">
        <v>27562</v>
      </c>
      <c r="F44" s="6">
        <f>+F28*F36</f>
        <v>33077.222817600006</v>
      </c>
      <c r="G44" s="6">
        <f>+G28*G36</f>
        <v>40752.469466176</v>
      </c>
    </row>
    <row r="45" spans="1:7" x14ac:dyDescent="0.35">
      <c r="A45" t="s">
        <v>50</v>
      </c>
      <c r="D45" s="6">
        <v>29953</v>
      </c>
      <c r="E45" s="6">
        <v>41887</v>
      </c>
      <c r="F45" s="6">
        <f t="shared" ref="F45:G45" si="4">+F42-F43-F44</f>
        <v>58821.241990400042</v>
      </c>
      <c r="G45" s="6">
        <f t="shared" si="4"/>
        <v>77893.883309281373</v>
      </c>
    </row>
    <row r="46" spans="1:7" x14ac:dyDescent="0.35">
      <c r="A46" t="s">
        <v>51</v>
      </c>
      <c r="D46" s="6">
        <v>-6182</v>
      </c>
      <c r="E46" s="6">
        <v>659</v>
      </c>
      <c r="F46" s="6">
        <v>14</v>
      </c>
      <c r="G46" s="6">
        <v>1000</v>
      </c>
    </row>
    <row r="47" spans="1:7" x14ac:dyDescent="0.35">
      <c r="A47" t="s">
        <v>52</v>
      </c>
      <c r="D47" s="6">
        <f>+D45+D46</f>
        <v>23771</v>
      </c>
      <c r="E47" s="6">
        <f t="shared" ref="E47:G47" si="5">+E45+E46</f>
        <v>42546</v>
      </c>
      <c r="F47" s="6">
        <f t="shared" si="5"/>
        <v>58835.241990400042</v>
      </c>
      <c r="G47" s="6">
        <f t="shared" si="5"/>
        <v>78893.883309281373</v>
      </c>
    </row>
    <row r="48" spans="1:7" x14ac:dyDescent="0.35">
      <c r="A48" t="s">
        <v>53</v>
      </c>
      <c r="D48" s="6">
        <v>9058</v>
      </c>
      <c r="E48" s="6">
        <v>16168</v>
      </c>
      <c r="F48" s="6">
        <f>+F29*F47</f>
        <v>22357.391956352018</v>
      </c>
      <c r="G48" s="6">
        <f>+G29*G47</f>
        <v>29979.675657526921</v>
      </c>
    </row>
    <row r="49" spans="1:7" x14ac:dyDescent="0.35">
      <c r="A49" t="s">
        <v>54</v>
      </c>
      <c r="D49" s="6">
        <f>+D47-D48</f>
        <v>14713</v>
      </c>
      <c r="E49" s="6">
        <f>+E47-E48</f>
        <v>26378</v>
      </c>
      <c r="F49" s="6">
        <f t="shared" ref="F49:G49" si="6">+F47-F48</f>
        <v>36477.850034048024</v>
      </c>
      <c r="G49" s="6">
        <f t="shared" si="6"/>
        <v>48914.207651754448</v>
      </c>
    </row>
    <row r="51" spans="1:7" x14ac:dyDescent="0.35">
      <c r="A51" s="9" t="s">
        <v>64</v>
      </c>
    </row>
    <row r="52" spans="1:7" x14ac:dyDescent="0.35">
      <c r="A52" t="s">
        <v>69</v>
      </c>
      <c r="F52" s="10">
        <f>+F20/E20-1</f>
        <v>0.3416027603291163</v>
      </c>
      <c r="G52" s="10">
        <f>+G20/F20-1</f>
        <v>0.36680985523402643</v>
      </c>
    </row>
    <row r="53" spans="1:7" x14ac:dyDescent="0.35">
      <c r="A53" t="s">
        <v>66</v>
      </c>
      <c r="E53" s="10">
        <f>-(1-(E34+E35)/(D34+D35))</f>
        <v>0.48457354446246015</v>
      </c>
      <c r="F53" s="10">
        <f t="shared" ref="F53:G53" si="7">-(1-(F34+F35)/(E34+E35))</f>
        <v>0.48288065685515136</v>
      </c>
      <c r="G53" s="10">
        <f t="shared" si="7"/>
        <v>0.43079798531938973</v>
      </c>
    </row>
    <row r="54" spans="1:7" x14ac:dyDescent="0.35">
      <c r="A54" t="s">
        <v>76</v>
      </c>
      <c r="F54" s="10">
        <f>+F19/E19-1</f>
        <v>0.49604305455527564</v>
      </c>
      <c r="G54" s="10">
        <f>+G19/F19-1</f>
        <v>0.51496257269111845</v>
      </c>
    </row>
    <row r="55" spans="1:7" x14ac:dyDescent="0.35">
      <c r="A55" t="s">
        <v>77</v>
      </c>
      <c r="E55" s="10">
        <f>+E35/D35-1</f>
        <v>0.4724314980133133</v>
      </c>
      <c r="F55" s="10">
        <f t="shared" ref="F55:G55" si="8">+F35/E35-1</f>
        <v>0.49091699974591974</v>
      </c>
      <c r="G55" s="10">
        <f t="shared" si="8"/>
        <v>0.42027741189792356</v>
      </c>
    </row>
    <row r="57" spans="1:7" x14ac:dyDescent="0.35">
      <c r="A57" t="s">
        <v>57</v>
      </c>
    </row>
    <row r="58" spans="1:7" x14ac:dyDescent="0.35">
      <c r="A58" t="s">
        <v>80</v>
      </c>
      <c r="D58" s="6">
        <v>25129</v>
      </c>
      <c r="E58" s="6">
        <v>37196</v>
      </c>
      <c r="F58" s="6">
        <f>-F66-F67-F68+F74</f>
        <v>-6853.9353096733394</v>
      </c>
      <c r="G58" s="6">
        <f>-G66-G67-G68+G74</f>
        <v>-69157.574337274942</v>
      </c>
    </row>
    <row r="59" spans="1:7" x14ac:dyDescent="0.35">
      <c r="A59" t="s">
        <v>79</v>
      </c>
      <c r="D59" s="6"/>
      <c r="E59" s="6"/>
      <c r="F59" s="6"/>
      <c r="G59" s="6"/>
    </row>
    <row r="60" spans="1:7" x14ac:dyDescent="0.35">
      <c r="B60" t="s">
        <v>58</v>
      </c>
      <c r="D60" s="6">
        <v>24733</v>
      </c>
      <c r="E60" s="6">
        <v>38682</v>
      </c>
      <c r="F60" s="6">
        <f>+E60*(1+$F$53)</f>
        <v>57360.789568470966</v>
      </c>
      <c r="G60" s="6">
        <f>+F60*(1+$G$53)</f>
        <v>82071.70215089772</v>
      </c>
    </row>
    <row r="61" spans="1:7" x14ac:dyDescent="0.35">
      <c r="B61" t="s">
        <v>59</v>
      </c>
      <c r="D61" s="6">
        <v>12031</v>
      </c>
      <c r="E61" s="6">
        <v>16159</v>
      </c>
      <c r="F61" s="6">
        <f t="shared" ref="F61:F65" si="9">+E61*(1+$F$53)</f>
        <v>23961.86853412239</v>
      </c>
      <c r="G61" s="6">
        <f t="shared" ref="G61:G65" si="10">+F61*(1+$G$53)</f>
        <v>34284.593223110394</v>
      </c>
    </row>
    <row r="62" spans="1:7" x14ac:dyDescent="0.35">
      <c r="B62" t="s">
        <v>60</v>
      </c>
      <c r="D62" s="6">
        <v>5718</v>
      </c>
      <c r="E62" s="6">
        <v>9732</v>
      </c>
      <c r="F62" s="6">
        <f t="shared" si="9"/>
        <v>14431.394552514334</v>
      </c>
      <c r="G62" s="6">
        <f t="shared" si="10"/>
        <v>20648.410251086723</v>
      </c>
    </row>
    <row r="63" spans="1:7" x14ac:dyDescent="0.35">
      <c r="B63" t="s">
        <v>61</v>
      </c>
      <c r="D63" s="6">
        <v>14697</v>
      </c>
      <c r="E63" s="6">
        <v>21202</v>
      </c>
      <c r="F63" s="6">
        <f t="shared" si="9"/>
        <v>31440.035686642917</v>
      </c>
      <c r="G63" s="6">
        <f t="shared" si="10"/>
        <v>44984.339718818403</v>
      </c>
    </row>
    <row r="64" spans="1:7" x14ac:dyDescent="0.35">
      <c r="B64" t="s">
        <v>62</v>
      </c>
      <c r="D64" s="6">
        <v>19904</v>
      </c>
      <c r="E64" s="6">
        <v>26729</v>
      </c>
      <c r="F64" s="6">
        <f t="shared" si="9"/>
        <v>39635.917077081343</v>
      </c>
      <c r="G64" s="6">
        <f t="shared" si="10"/>
        <v>56710.990300174381</v>
      </c>
    </row>
    <row r="65" spans="1:7" x14ac:dyDescent="0.35">
      <c r="B65" t="s">
        <v>63</v>
      </c>
      <c r="D65" s="6">
        <v>3567</v>
      </c>
      <c r="E65" s="6">
        <v>4602</v>
      </c>
      <c r="F65" s="6">
        <f t="shared" si="9"/>
        <v>6824.2167828474066</v>
      </c>
      <c r="G65" s="6">
        <f t="shared" si="10"/>
        <v>9764.0756242808366</v>
      </c>
    </row>
    <row r="66" spans="1:7" x14ac:dyDescent="0.35">
      <c r="B66" t="s">
        <v>65</v>
      </c>
      <c r="D66" s="6">
        <f>+SUM(D60:D62)-SUM(D63:D65)</f>
        <v>4314</v>
      </c>
      <c r="E66" s="6">
        <f>+SUM(E60:E62)-SUM(E63:E65)</f>
        <v>12040</v>
      </c>
      <c r="F66" s="6">
        <f t="shared" ref="F66:G66" si="11">+SUM(F60:F62)-SUM(F63:F65)</f>
        <v>17853.883108536029</v>
      </c>
      <c r="G66" s="6">
        <f t="shared" si="11"/>
        <v>25545.299981821197</v>
      </c>
    </row>
    <row r="67" spans="1:7" x14ac:dyDescent="0.35">
      <c r="A67" t="s">
        <v>67</v>
      </c>
      <c r="D67" s="6">
        <v>78340</v>
      </c>
      <c r="E67" s="6">
        <v>112577</v>
      </c>
      <c r="F67" s="6">
        <f>+E67*(1+F53)</f>
        <v>166938.25570678237</v>
      </c>
      <c r="G67" s="6">
        <f t="shared" ref="G67:G68" si="12">+F67*(1+G53)</f>
        <v>238854.91993799733</v>
      </c>
    </row>
    <row r="68" spans="1:7" x14ac:dyDescent="0.35">
      <c r="A68" t="s">
        <v>68</v>
      </c>
      <c r="D68" s="6">
        <v>25542</v>
      </c>
      <c r="E68" s="6">
        <v>41030</v>
      </c>
      <c r="F68" s="6">
        <f>+E68*(1+F54)</f>
        <v>61382.646528402962</v>
      </c>
      <c r="G68" s="6">
        <f t="shared" si="12"/>
        <v>92992.412103258903</v>
      </c>
    </row>
    <row r="69" spans="1:7" x14ac:dyDescent="0.35">
      <c r="A69" t="s">
        <v>70</v>
      </c>
      <c r="D69" s="6">
        <f>+D66+D67+D68+D58</f>
        <v>133325</v>
      </c>
      <c r="E69" s="6">
        <f>+E66+E67+E68+E58</f>
        <v>202843</v>
      </c>
      <c r="F69" s="6">
        <f>+F66+F67+F68+F58</f>
        <v>239320.85003404802</v>
      </c>
      <c r="G69" s="6">
        <f>+G66+G67+G68+G58</f>
        <v>288235.05768580246</v>
      </c>
    </row>
    <row r="70" spans="1:7" x14ac:dyDescent="0.35">
      <c r="A70" t="s">
        <v>71</v>
      </c>
      <c r="D70" s="6">
        <v>0</v>
      </c>
      <c r="E70" s="6">
        <v>3912</v>
      </c>
      <c r="F70" s="6">
        <v>3912</v>
      </c>
      <c r="G70" s="6">
        <v>3912</v>
      </c>
    </row>
    <row r="71" spans="1:7" x14ac:dyDescent="0.35">
      <c r="A71" t="s">
        <v>72</v>
      </c>
      <c r="D71" s="6">
        <v>6529</v>
      </c>
      <c r="E71" s="6">
        <v>8773</v>
      </c>
      <c r="F71" s="6">
        <v>8773</v>
      </c>
      <c r="G71" s="6">
        <v>8773</v>
      </c>
    </row>
    <row r="72" spans="1:7" x14ac:dyDescent="0.35">
      <c r="A72" t="s">
        <v>75</v>
      </c>
      <c r="D72" s="6">
        <v>1117</v>
      </c>
      <c r="E72" s="6">
        <v>2491</v>
      </c>
      <c r="F72" s="6">
        <v>2491</v>
      </c>
      <c r="G72" s="6">
        <v>2491</v>
      </c>
    </row>
    <row r="73" spans="1:7" x14ac:dyDescent="0.35">
      <c r="A73" t="s">
        <v>73</v>
      </c>
      <c r="D73" s="6">
        <v>125679</v>
      </c>
      <c r="E73" s="6">
        <v>187667</v>
      </c>
      <c r="F73" s="6">
        <f>+E73+F49</f>
        <v>224144.85003404802</v>
      </c>
      <c r="G73" s="6">
        <f>+F73+G49</f>
        <v>273059.05768580246</v>
      </c>
    </row>
    <row r="74" spans="1:7" x14ac:dyDescent="0.35">
      <c r="A74" t="s">
        <v>74</v>
      </c>
      <c r="D74" s="6">
        <f>+SUM(D70:D73)</f>
        <v>133325</v>
      </c>
      <c r="E74" s="6">
        <f t="shared" ref="E74:G74" si="13">+SUM(E70:E73)</f>
        <v>202843</v>
      </c>
      <c r="F74" s="6">
        <f t="shared" si="13"/>
        <v>239320.85003404802</v>
      </c>
      <c r="G74" s="6">
        <f t="shared" si="13"/>
        <v>288235.05768580246</v>
      </c>
    </row>
    <row r="76" spans="1:7" x14ac:dyDescent="0.35">
      <c r="A76" s="9" t="s">
        <v>81</v>
      </c>
    </row>
    <row r="78" spans="1:7" x14ac:dyDescent="0.35">
      <c r="A78" t="s">
        <v>82</v>
      </c>
      <c r="F78" s="11">
        <f>+F49+F43-F66+E66</f>
        <v>39670.126925511999</v>
      </c>
      <c r="G78" s="11">
        <f>+G49+G43-G66+F66</f>
        <v>54577.851235011869</v>
      </c>
    </row>
    <row r="79" spans="1:7" x14ac:dyDescent="0.35">
      <c r="A79" t="s">
        <v>83</v>
      </c>
      <c r="F79" s="11">
        <f>-F67+E67-F43+E68-F68</f>
        <v>-83720.062235185324</v>
      </c>
      <c r="G79" s="11">
        <f>-G67+F67-G43+F68-G68</f>
        <v>-116881.49026261349</v>
      </c>
    </row>
    <row r="80" spans="1:7" x14ac:dyDescent="0.35">
      <c r="A80" t="s">
        <v>84</v>
      </c>
      <c r="F80" s="11">
        <f>-F58</f>
        <v>6853.9353096733394</v>
      </c>
      <c r="G80" s="11">
        <f>-G58+F58</f>
        <v>62303.639027601603</v>
      </c>
    </row>
    <row r="81" spans="1:7" x14ac:dyDescent="0.35">
      <c r="A81" t="s">
        <v>85</v>
      </c>
      <c r="F81" s="6">
        <v>-37196</v>
      </c>
      <c r="G81">
        <v>0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MMagnanSonyLap</dc:creator>
  <cp:lastModifiedBy>mmagnan</cp:lastModifiedBy>
  <dcterms:created xsi:type="dcterms:W3CDTF">2010-10-22T17:30:51Z</dcterms:created>
  <dcterms:modified xsi:type="dcterms:W3CDTF">2012-11-01T14:36:49Z</dcterms:modified>
</cp:coreProperties>
</file>